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195" yWindow="705" windowWidth="26910" windowHeight="11310" tabRatio="1000" activeTab="1"/>
  </bookViews>
  <sheets>
    <sheet name="Bud Acct vs Exp Acct File" sheetId="1" r:id="rId1"/>
    <sheet name="Supplies &amp; Materials" sheetId="3" r:id="rId2"/>
    <sheet name="Contracts" sheetId="4" r:id="rId3"/>
    <sheet name="Equipment" sheetId="5" r:id="rId4"/>
    <sheet name="Travel" sheetId="6" r:id="rId5"/>
    <sheet name="Fringe Benefits" sheetId="10" r:id="rId6"/>
    <sheet name="Dept Acct Data Set (Revised)" sheetId="9" r:id="rId7"/>
    <sheet name="Dept Acct Data Set (Old)" sheetId="7" r:id="rId8"/>
    <sheet name="Sheet1" sheetId="8" r:id="rId9"/>
  </sheets>
  <definedNames>
    <definedName name="_xlnm._FilterDatabase" localSheetId="0" hidden="1">'Bud Acct vs Exp Acct File'!$A$1:$M$695</definedName>
    <definedName name="_xlnm.Print_Titles" localSheetId="2">Contracts!$A:$C,Contracts!$10:$11</definedName>
    <definedName name="_xlnm.Print_Titles" localSheetId="3">Equipment!$A:$C,Equipment!$10:$11</definedName>
    <definedName name="_xlnm.Print_Titles" localSheetId="1">'Supplies &amp; Materials'!$A:$C,'Supplies &amp; Materials'!$10:$11</definedName>
  </definedNames>
  <calcPr calcId="125725"/>
</workbook>
</file>

<file path=xl/calcChain.xml><?xml version="1.0" encoding="utf-8"?>
<calcChain xmlns="http://schemas.openxmlformats.org/spreadsheetml/2006/main">
  <c r="G4" i="9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3"/>
  <c r="C686" i="8" l="1"/>
  <c r="B686"/>
  <c r="C685"/>
  <c r="B685"/>
  <c r="C684"/>
  <c r="B684"/>
  <c r="C683"/>
  <c r="B683"/>
  <c r="C682"/>
  <c r="B682"/>
  <c r="C681"/>
  <c r="B681"/>
  <c r="C680"/>
  <c r="B680"/>
  <c r="C679"/>
  <c r="B679"/>
  <c r="C678"/>
  <c r="B678"/>
  <c r="C677"/>
  <c r="B677"/>
  <c r="C676"/>
  <c r="B676"/>
  <c r="C675"/>
  <c r="B675"/>
  <c r="C674"/>
  <c r="B674"/>
  <c r="C673"/>
  <c r="B673"/>
  <c r="C672"/>
  <c r="B672"/>
  <c r="C671"/>
  <c r="B671"/>
  <c r="C670"/>
  <c r="B670"/>
  <c r="C669"/>
  <c r="B669"/>
  <c r="C668"/>
  <c r="B668"/>
  <c r="C667"/>
  <c r="B667"/>
  <c r="C666"/>
  <c r="B666"/>
  <c r="C665"/>
  <c r="B665"/>
  <c r="C664"/>
  <c r="B664"/>
  <c r="C663"/>
  <c r="B663"/>
  <c r="C662"/>
  <c r="B662"/>
  <c r="C661"/>
  <c r="B661"/>
  <c r="C660"/>
  <c r="B660"/>
  <c r="C659"/>
  <c r="B659"/>
  <c r="C658"/>
  <c r="B658"/>
  <c r="C657"/>
  <c r="B657"/>
  <c r="C656"/>
  <c r="B656"/>
  <c r="C655"/>
  <c r="B655"/>
  <c r="C654"/>
  <c r="B654"/>
  <c r="C653"/>
  <c r="B653"/>
  <c r="C652"/>
  <c r="B652"/>
  <c r="C651"/>
  <c r="B651"/>
  <c r="C650"/>
  <c r="B650"/>
  <c r="C649"/>
  <c r="B649"/>
  <c r="C648"/>
  <c r="B648"/>
  <c r="C647"/>
  <c r="B647"/>
  <c r="C646"/>
  <c r="B646"/>
  <c r="C645"/>
  <c r="B645"/>
  <c r="C644"/>
  <c r="B644"/>
  <c r="C643"/>
  <c r="B643"/>
  <c r="C642"/>
  <c r="B642"/>
  <c r="C641"/>
  <c r="B641"/>
  <c r="C640"/>
  <c r="B640"/>
  <c r="C639"/>
  <c r="B639"/>
  <c r="C638"/>
  <c r="B638"/>
  <c r="C637"/>
  <c r="B637"/>
  <c r="C636"/>
  <c r="B636"/>
  <c r="C635"/>
  <c r="B635"/>
  <c r="C634"/>
  <c r="B634"/>
  <c r="C633"/>
  <c r="B633"/>
  <c r="C632"/>
  <c r="B632"/>
  <c r="C631"/>
  <c r="B631"/>
  <c r="C630"/>
  <c r="B630"/>
  <c r="C629"/>
  <c r="B629"/>
  <c r="C628"/>
  <c r="B628"/>
  <c r="C627"/>
  <c r="B627"/>
  <c r="C626"/>
  <c r="B626"/>
  <c r="C625"/>
  <c r="B625"/>
  <c r="C624"/>
  <c r="B624"/>
  <c r="C623"/>
  <c r="B623"/>
  <c r="C622"/>
  <c r="B622"/>
  <c r="C621"/>
  <c r="B621"/>
  <c r="C620"/>
  <c r="B620"/>
  <c r="C619"/>
  <c r="B619"/>
  <c r="C618"/>
  <c r="B618"/>
  <c r="C617"/>
  <c r="B617"/>
  <c r="C616"/>
  <c r="B616"/>
  <c r="C615"/>
  <c r="B615"/>
  <c r="C614"/>
  <c r="B614"/>
  <c r="C613"/>
  <c r="B613"/>
  <c r="C612"/>
  <c r="B612"/>
  <c r="C611"/>
  <c r="B611"/>
  <c r="C610"/>
  <c r="B610"/>
  <c r="C609"/>
  <c r="B609"/>
  <c r="C608"/>
  <c r="B608"/>
  <c r="C607"/>
  <c r="B607"/>
  <c r="C606"/>
  <c r="B606"/>
  <c r="C605"/>
  <c r="B605"/>
  <c r="C604"/>
  <c r="B604"/>
  <c r="C603"/>
  <c r="B603"/>
  <c r="C602"/>
  <c r="B602"/>
  <c r="C601"/>
  <c r="B601"/>
  <c r="C600"/>
  <c r="B600"/>
  <c r="C599"/>
  <c r="B599"/>
  <c r="C598"/>
  <c r="B598"/>
  <c r="C597"/>
  <c r="B597"/>
  <c r="C596"/>
  <c r="B596"/>
  <c r="C595"/>
  <c r="B595"/>
  <c r="C594"/>
  <c r="B594"/>
  <c r="C593"/>
  <c r="B593"/>
  <c r="C592"/>
  <c r="B592"/>
  <c r="C591"/>
  <c r="B591"/>
  <c r="C590"/>
  <c r="B590"/>
  <c r="C589"/>
  <c r="B589"/>
  <c r="C588"/>
  <c r="B588"/>
  <c r="C587"/>
  <c r="B587"/>
  <c r="C586"/>
  <c r="B586"/>
  <c r="C585"/>
  <c r="B585"/>
  <c r="C584"/>
  <c r="B584"/>
  <c r="C583"/>
  <c r="B583"/>
  <c r="C582"/>
  <c r="B582"/>
  <c r="C581"/>
  <c r="B581"/>
  <c r="C580"/>
  <c r="B580"/>
  <c r="C579"/>
  <c r="B579"/>
  <c r="C578"/>
  <c r="B578"/>
  <c r="C577"/>
  <c r="B577"/>
  <c r="C576"/>
  <c r="B576"/>
  <c r="C575"/>
  <c r="B575"/>
  <c r="C574"/>
  <c r="B574"/>
  <c r="C573"/>
  <c r="B573"/>
  <c r="C572"/>
  <c r="B572"/>
  <c r="C571"/>
  <c r="B571"/>
  <c r="C570"/>
  <c r="B570"/>
  <c r="C569"/>
  <c r="B569"/>
  <c r="C568"/>
  <c r="B568"/>
  <c r="C567"/>
  <c r="B567"/>
  <c r="C566"/>
  <c r="B566"/>
  <c r="C565"/>
  <c r="B565"/>
  <c r="C564"/>
  <c r="B564"/>
  <c r="C563"/>
  <c r="B563"/>
  <c r="C562"/>
  <c r="B562"/>
  <c r="C561"/>
  <c r="B561"/>
  <c r="C560"/>
  <c r="B560"/>
  <c r="C559"/>
  <c r="B559"/>
  <c r="C558"/>
  <c r="B558"/>
  <c r="C557"/>
  <c r="B557"/>
  <c r="C556"/>
  <c r="B556"/>
  <c r="C555"/>
  <c r="B555"/>
  <c r="C554"/>
  <c r="B554"/>
  <c r="C553"/>
  <c r="B553"/>
  <c r="C552"/>
  <c r="B552"/>
  <c r="C551"/>
  <c r="B551"/>
  <c r="C550"/>
  <c r="B550"/>
  <c r="C549"/>
  <c r="B549"/>
  <c r="C548"/>
  <c r="B548"/>
  <c r="C547"/>
  <c r="B547"/>
  <c r="C546"/>
  <c r="B546"/>
  <c r="C545"/>
  <c r="B545"/>
  <c r="C544"/>
  <c r="B544"/>
  <c r="C543"/>
  <c r="B543"/>
  <c r="C542"/>
  <c r="B542"/>
  <c r="C541"/>
  <c r="B541"/>
  <c r="C540"/>
  <c r="B540"/>
  <c r="C539"/>
  <c r="B539"/>
  <c r="C538"/>
  <c r="B538"/>
  <c r="C537"/>
  <c r="B537"/>
  <c r="C536"/>
  <c r="B536"/>
  <c r="C535"/>
  <c r="B535"/>
  <c r="C534"/>
  <c r="B534"/>
  <c r="C533"/>
  <c r="B533"/>
  <c r="C532"/>
  <c r="B532"/>
  <c r="C531"/>
  <c r="B531"/>
  <c r="C530"/>
  <c r="B530"/>
  <c r="C529"/>
  <c r="B529"/>
  <c r="C528"/>
  <c r="B528"/>
  <c r="C527"/>
  <c r="B527"/>
  <c r="C526"/>
  <c r="B526"/>
  <c r="C525"/>
  <c r="B525"/>
  <c r="C524"/>
  <c r="B524"/>
  <c r="C523"/>
  <c r="B523"/>
  <c r="C522"/>
  <c r="B522"/>
  <c r="C521"/>
  <c r="B521"/>
  <c r="C520"/>
  <c r="B520"/>
  <c r="C519"/>
  <c r="B519"/>
  <c r="C518"/>
  <c r="B518"/>
  <c r="C517"/>
  <c r="B517"/>
  <c r="C516"/>
  <c r="B516"/>
  <c r="C515"/>
  <c r="B515"/>
  <c r="C514"/>
  <c r="B514"/>
  <c r="C513"/>
  <c r="B513"/>
  <c r="C512"/>
  <c r="B512"/>
  <c r="C511"/>
  <c r="B511"/>
  <c r="C510"/>
  <c r="B510"/>
  <c r="C509"/>
  <c r="B509"/>
  <c r="C508"/>
  <c r="B508"/>
  <c r="C507"/>
  <c r="B507"/>
  <c r="C506"/>
  <c r="B506"/>
  <c r="C505"/>
  <c r="B505"/>
  <c r="C504"/>
  <c r="B504"/>
  <c r="C503"/>
  <c r="B503"/>
  <c r="C502"/>
  <c r="B502"/>
  <c r="C501"/>
  <c r="B501"/>
  <c r="C500"/>
  <c r="B500"/>
  <c r="C499"/>
  <c r="B499"/>
  <c r="C498"/>
  <c r="B498"/>
  <c r="C497"/>
  <c r="B497"/>
  <c r="C496"/>
  <c r="B496"/>
  <c r="C495"/>
  <c r="B495"/>
  <c r="C494"/>
  <c r="B494"/>
  <c r="C493"/>
  <c r="B493"/>
  <c r="C492"/>
  <c r="B492"/>
  <c r="C491"/>
  <c r="B491"/>
  <c r="C490"/>
  <c r="B490"/>
  <c r="C489"/>
  <c r="B489"/>
  <c r="C488"/>
  <c r="B488"/>
  <c r="C487"/>
  <c r="B487"/>
  <c r="C486"/>
  <c r="B486"/>
  <c r="C485"/>
  <c r="B485"/>
  <c r="C484"/>
  <c r="B484"/>
  <c r="C483"/>
  <c r="B483"/>
  <c r="C482"/>
  <c r="B482"/>
  <c r="C481"/>
  <c r="B481"/>
  <c r="C480"/>
  <c r="B480"/>
  <c r="C479"/>
  <c r="B479"/>
  <c r="C478"/>
  <c r="B478"/>
  <c r="C477"/>
  <c r="B477"/>
  <c r="C476"/>
  <c r="B476"/>
  <c r="C475"/>
  <c r="B475"/>
  <c r="C474"/>
  <c r="B474"/>
  <c r="C473"/>
  <c r="B473"/>
  <c r="C472"/>
  <c r="B472"/>
  <c r="C471"/>
  <c r="B471"/>
  <c r="C470"/>
  <c r="B470"/>
  <c r="C469"/>
  <c r="B469"/>
  <c r="C468"/>
  <c r="B468"/>
  <c r="C467"/>
  <c r="B467"/>
  <c r="C466"/>
  <c r="B466"/>
  <c r="C465"/>
  <c r="B465"/>
  <c r="C464"/>
  <c r="B464"/>
  <c r="C463"/>
  <c r="B463"/>
  <c r="C462"/>
  <c r="B462"/>
  <c r="C461"/>
  <c r="B461"/>
  <c r="C460"/>
  <c r="B460"/>
  <c r="C459"/>
  <c r="B459"/>
  <c r="C458"/>
  <c r="B458"/>
  <c r="C457"/>
  <c r="B457"/>
  <c r="C456"/>
  <c r="B456"/>
  <c r="C455"/>
  <c r="B455"/>
  <c r="C454"/>
  <c r="B454"/>
  <c r="C453"/>
  <c r="B453"/>
  <c r="C452"/>
  <c r="B452"/>
  <c r="C451"/>
  <c r="B451"/>
  <c r="C450"/>
  <c r="B450"/>
  <c r="C449"/>
  <c r="B449"/>
  <c r="C448"/>
  <c r="B448"/>
  <c r="C447"/>
  <c r="B447"/>
  <c r="C446"/>
  <c r="B446"/>
  <c r="C445"/>
  <c r="B445"/>
  <c r="C444"/>
  <c r="B444"/>
  <c r="C443"/>
  <c r="B443"/>
  <c r="C442"/>
  <c r="B442"/>
  <c r="C441"/>
  <c r="B441"/>
  <c r="C440"/>
  <c r="B440"/>
  <c r="C439"/>
  <c r="B439"/>
  <c r="C438"/>
  <c r="B438"/>
  <c r="C437"/>
  <c r="B437"/>
  <c r="C436"/>
  <c r="B436"/>
  <c r="C435"/>
  <c r="B435"/>
  <c r="C434"/>
  <c r="B434"/>
  <c r="C433"/>
  <c r="B433"/>
  <c r="C432"/>
  <c r="B432"/>
  <c r="C431"/>
  <c r="B431"/>
  <c r="C430"/>
  <c r="B430"/>
  <c r="C429"/>
  <c r="B429"/>
  <c r="C428"/>
  <c r="B428"/>
  <c r="C427"/>
  <c r="B427"/>
  <c r="C426"/>
  <c r="B426"/>
  <c r="C425"/>
  <c r="B425"/>
  <c r="C424"/>
  <c r="B424"/>
  <c r="C423"/>
  <c r="B423"/>
  <c r="C422"/>
  <c r="B422"/>
  <c r="C421"/>
  <c r="B421"/>
  <c r="C420"/>
  <c r="B420"/>
  <c r="C419"/>
  <c r="B419"/>
  <c r="C418"/>
  <c r="B418"/>
  <c r="C417"/>
  <c r="B417"/>
  <c r="C416"/>
  <c r="B416"/>
  <c r="C415"/>
  <c r="B415"/>
  <c r="C414"/>
  <c r="B414"/>
  <c r="C413"/>
  <c r="B413"/>
  <c r="C412"/>
  <c r="B412"/>
  <c r="C411"/>
  <c r="B411"/>
  <c r="C410"/>
  <c r="B410"/>
  <c r="C409"/>
  <c r="B409"/>
  <c r="C408"/>
  <c r="B408"/>
  <c r="C407"/>
  <c r="B407"/>
  <c r="C406"/>
  <c r="B406"/>
  <c r="C405"/>
  <c r="B405"/>
  <c r="C404"/>
  <c r="B404"/>
  <c r="C403"/>
  <c r="B403"/>
  <c r="C402"/>
  <c r="B402"/>
  <c r="C401"/>
  <c r="B401"/>
  <c r="C400"/>
  <c r="B400"/>
  <c r="C399"/>
  <c r="B399"/>
  <c r="C398"/>
  <c r="B398"/>
  <c r="C397"/>
  <c r="B397"/>
  <c r="C396"/>
  <c r="B396"/>
  <c r="C395"/>
  <c r="B395"/>
  <c r="C394"/>
  <c r="B394"/>
  <c r="C393"/>
  <c r="B393"/>
  <c r="C392"/>
  <c r="B392"/>
  <c r="C391"/>
  <c r="B391"/>
  <c r="C390"/>
  <c r="B390"/>
  <c r="C389"/>
  <c r="B389"/>
  <c r="C388"/>
  <c r="B388"/>
  <c r="C387"/>
  <c r="B387"/>
  <c r="C386"/>
  <c r="B386"/>
  <c r="C385"/>
  <c r="B385"/>
  <c r="C384"/>
  <c r="B384"/>
  <c r="C383"/>
  <c r="B383"/>
  <c r="C382"/>
  <c r="B382"/>
  <c r="C381"/>
  <c r="B381"/>
  <c r="C380"/>
  <c r="B380"/>
  <c r="C379"/>
  <c r="B379"/>
  <c r="C378"/>
  <c r="B378"/>
  <c r="C377"/>
  <c r="B377"/>
  <c r="C376"/>
  <c r="B376"/>
  <c r="C375"/>
  <c r="B375"/>
  <c r="C374"/>
  <c r="B374"/>
  <c r="C373"/>
  <c r="B373"/>
  <c r="C372"/>
  <c r="B372"/>
  <c r="C371"/>
  <c r="B371"/>
  <c r="C370"/>
  <c r="B370"/>
  <c r="C369"/>
  <c r="B369"/>
  <c r="C368"/>
  <c r="B368"/>
  <c r="C367"/>
  <c r="B367"/>
  <c r="C366"/>
  <c r="B366"/>
  <c r="C365"/>
  <c r="B365"/>
  <c r="C364"/>
  <c r="B364"/>
  <c r="C363"/>
  <c r="B363"/>
  <c r="C362"/>
  <c r="B362"/>
  <c r="C361"/>
  <c r="B361"/>
  <c r="C360"/>
  <c r="B360"/>
  <c r="C359"/>
  <c r="B359"/>
  <c r="C358"/>
  <c r="B358"/>
  <c r="C357"/>
  <c r="B357"/>
  <c r="C356"/>
  <c r="B356"/>
  <c r="C355"/>
  <c r="B355"/>
  <c r="C354"/>
  <c r="B354"/>
  <c r="C353"/>
  <c r="B353"/>
  <c r="C352"/>
  <c r="B352"/>
  <c r="C351"/>
  <c r="B351"/>
  <c r="C350"/>
  <c r="B350"/>
  <c r="C349"/>
  <c r="B349"/>
  <c r="C348"/>
  <c r="B348"/>
  <c r="C347"/>
  <c r="B347"/>
  <c r="C346"/>
  <c r="B346"/>
  <c r="C345"/>
  <c r="B345"/>
  <c r="C344"/>
  <c r="B344"/>
  <c r="C343"/>
  <c r="B343"/>
  <c r="C342"/>
  <c r="B342"/>
  <c r="C341"/>
  <c r="B341"/>
  <c r="C340"/>
  <c r="B340"/>
  <c r="C339"/>
  <c r="B339"/>
  <c r="C338"/>
  <c r="B338"/>
  <c r="C337"/>
  <c r="B337"/>
  <c r="C336"/>
  <c r="B336"/>
  <c r="C335"/>
  <c r="B335"/>
  <c r="C334"/>
  <c r="B334"/>
  <c r="C333"/>
  <c r="B333"/>
  <c r="C332"/>
  <c r="B332"/>
  <c r="C331"/>
  <c r="B331"/>
  <c r="C330"/>
  <c r="B330"/>
  <c r="C329"/>
  <c r="B329"/>
  <c r="C328"/>
  <c r="B328"/>
  <c r="C327"/>
  <c r="B327"/>
  <c r="C326"/>
  <c r="B326"/>
  <c r="C325"/>
  <c r="B325"/>
  <c r="C324"/>
  <c r="B324"/>
  <c r="C323"/>
  <c r="B323"/>
  <c r="C322"/>
  <c r="B322"/>
  <c r="C321"/>
  <c r="B321"/>
  <c r="C320"/>
  <c r="B320"/>
  <c r="C319"/>
  <c r="B319"/>
  <c r="C318"/>
  <c r="B318"/>
  <c r="C317"/>
  <c r="B317"/>
  <c r="C316"/>
  <c r="B316"/>
  <c r="C315"/>
  <c r="B315"/>
  <c r="C314"/>
  <c r="B314"/>
  <c r="C313"/>
  <c r="B313"/>
  <c r="C312"/>
  <c r="B312"/>
  <c r="C311"/>
  <c r="B311"/>
  <c r="C310"/>
  <c r="B310"/>
  <c r="C309"/>
  <c r="B309"/>
  <c r="C308"/>
  <c r="B308"/>
  <c r="C307"/>
  <c r="B307"/>
  <c r="C306"/>
  <c r="B306"/>
  <c r="C305"/>
  <c r="B305"/>
  <c r="C304"/>
  <c r="B304"/>
  <c r="C303"/>
  <c r="B303"/>
  <c r="C302"/>
  <c r="B302"/>
  <c r="C301"/>
  <c r="B301"/>
  <c r="C300"/>
  <c r="B300"/>
  <c r="C299"/>
  <c r="B299"/>
  <c r="C298"/>
  <c r="B298"/>
  <c r="C297"/>
  <c r="B297"/>
  <c r="C296"/>
  <c r="B296"/>
  <c r="C295"/>
  <c r="B295"/>
  <c r="C294"/>
  <c r="B294"/>
  <c r="C293"/>
  <c r="B293"/>
  <c r="C292"/>
  <c r="B292"/>
  <c r="C291"/>
  <c r="B291"/>
  <c r="C290"/>
  <c r="B290"/>
  <c r="C289"/>
  <c r="B289"/>
  <c r="C288"/>
  <c r="B288"/>
  <c r="C287"/>
  <c r="B287"/>
  <c r="C286"/>
  <c r="B286"/>
  <c r="C285"/>
  <c r="B285"/>
  <c r="C284"/>
  <c r="B284"/>
  <c r="C283"/>
  <c r="B283"/>
  <c r="C282"/>
  <c r="B282"/>
  <c r="C281"/>
  <c r="B281"/>
  <c r="C280"/>
  <c r="B280"/>
  <c r="C279"/>
  <c r="B279"/>
  <c r="C278"/>
  <c r="B278"/>
  <c r="C277"/>
  <c r="B277"/>
  <c r="C276"/>
  <c r="B276"/>
  <c r="C275"/>
  <c r="B275"/>
  <c r="C274"/>
  <c r="B274"/>
  <c r="C273"/>
  <c r="B273"/>
  <c r="C272"/>
  <c r="B272"/>
  <c r="C271"/>
  <c r="B271"/>
  <c r="C270"/>
  <c r="B270"/>
  <c r="C269"/>
  <c r="B269"/>
  <c r="C268"/>
  <c r="B268"/>
  <c r="C267"/>
  <c r="B267"/>
  <c r="C266"/>
  <c r="B266"/>
  <c r="C265"/>
  <c r="B265"/>
  <c r="C264"/>
  <c r="B264"/>
  <c r="C263"/>
  <c r="B263"/>
  <c r="C262"/>
  <c r="B262"/>
  <c r="C261"/>
  <c r="B261"/>
  <c r="C260"/>
  <c r="B260"/>
  <c r="C259"/>
  <c r="B259"/>
  <c r="C258"/>
  <c r="B258"/>
  <c r="C257"/>
  <c r="B257"/>
  <c r="C256"/>
  <c r="B256"/>
  <c r="C255"/>
  <c r="B255"/>
  <c r="C254"/>
  <c r="B254"/>
  <c r="C253"/>
  <c r="B253"/>
  <c r="C252"/>
  <c r="B252"/>
  <c r="C251"/>
  <c r="B251"/>
  <c r="C250"/>
  <c r="B250"/>
  <c r="C249"/>
  <c r="B249"/>
  <c r="C248"/>
  <c r="B248"/>
  <c r="C247"/>
  <c r="B247"/>
  <c r="C246"/>
  <c r="B246"/>
  <c r="C245"/>
  <c r="B245"/>
  <c r="C244"/>
  <c r="B244"/>
  <c r="C243"/>
  <c r="B243"/>
  <c r="C242"/>
  <c r="B242"/>
  <c r="C241"/>
  <c r="B241"/>
  <c r="C240"/>
  <c r="B240"/>
  <c r="C239"/>
  <c r="B239"/>
  <c r="C238"/>
  <c r="B238"/>
  <c r="C237"/>
  <c r="B237"/>
  <c r="C236"/>
  <c r="B236"/>
  <c r="C235"/>
  <c r="B235"/>
  <c r="C234"/>
  <c r="B234"/>
  <c r="C233"/>
  <c r="B233"/>
  <c r="C232"/>
  <c r="B232"/>
  <c r="C231"/>
  <c r="B231"/>
  <c r="C230"/>
  <c r="B230"/>
  <c r="C229"/>
  <c r="B229"/>
  <c r="C228"/>
  <c r="B228"/>
  <c r="C227"/>
  <c r="B227"/>
  <c r="C226"/>
  <c r="B226"/>
  <c r="C225"/>
  <c r="B225"/>
  <c r="C224"/>
  <c r="B224"/>
  <c r="C223"/>
  <c r="B223"/>
  <c r="C222"/>
  <c r="B222"/>
  <c r="C221"/>
  <c r="B221"/>
  <c r="C220"/>
  <c r="B220"/>
  <c r="C219"/>
  <c r="B219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206"/>
  <c r="B206"/>
  <c r="C205"/>
  <c r="B205"/>
  <c r="C204"/>
  <c r="B204"/>
  <c r="C203"/>
  <c r="B203"/>
  <c r="C202"/>
  <c r="B202"/>
  <c r="C201"/>
  <c r="B201"/>
  <c r="C200"/>
  <c r="B200"/>
  <c r="C199"/>
  <c r="B199"/>
  <c r="C198"/>
  <c r="B198"/>
  <c r="C197"/>
  <c r="B197"/>
  <c r="C196"/>
  <c r="B196"/>
  <c r="C195"/>
  <c r="B195"/>
  <c r="C194"/>
  <c r="B194"/>
  <c r="C193"/>
  <c r="B193"/>
  <c r="C192"/>
  <c r="B192"/>
  <c r="C191"/>
  <c r="B191"/>
  <c r="C190"/>
  <c r="B190"/>
  <c r="C189"/>
  <c r="B189"/>
  <c r="C188"/>
  <c r="B188"/>
  <c r="C187"/>
  <c r="B187"/>
  <c r="C186"/>
  <c r="B186"/>
  <c r="C185"/>
  <c r="B185"/>
  <c r="C184"/>
  <c r="B184"/>
  <c r="C183"/>
  <c r="B183"/>
  <c r="C182"/>
  <c r="B182"/>
  <c r="C181"/>
  <c r="B181"/>
  <c r="C180"/>
  <c r="B180"/>
  <c r="C179"/>
  <c r="B179"/>
  <c r="C178"/>
  <c r="B178"/>
  <c r="C177"/>
  <c r="B177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B149"/>
  <c r="C148"/>
  <c r="B148"/>
  <c r="C147"/>
  <c r="B147"/>
  <c r="C146"/>
  <c r="B146"/>
  <c r="C145"/>
  <c r="B145"/>
  <c r="C144"/>
  <c r="B144"/>
  <c r="C143"/>
  <c r="B143"/>
  <c r="C142"/>
  <c r="B142"/>
  <c r="C141"/>
  <c r="B141"/>
  <c r="C140"/>
  <c r="B140"/>
  <c r="C139"/>
  <c r="B139"/>
  <c r="C138"/>
  <c r="B138"/>
  <c r="C137"/>
  <c r="B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"/>
  <c r="B3"/>
  <c r="C2"/>
  <c r="B2"/>
</calcChain>
</file>

<file path=xl/sharedStrings.xml><?xml version="1.0" encoding="utf-8"?>
<sst xmlns="http://schemas.openxmlformats.org/spreadsheetml/2006/main" count="19831" uniqueCount="2910">
  <si>
    <t>Budgetary Account Description</t>
  </si>
  <si>
    <t>Category Code</t>
  </si>
  <si>
    <t>NPS Supplies and Materials</t>
  </si>
  <si>
    <t>1512000000</t>
  </si>
  <si>
    <t>1512000080</t>
  </si>
  <si>
    <t>1513000000</t>
  </si>
  <si>
    <t>1513000080</t>
  </si>
  <si>
    <t>2411000000</t>
  </si>
  <si>
    <t>2412000000</t>
  </si>
  <si>
    <t>2412000090</t>
  </si>
  <si>
    <t>2414000000</t>
  </si>
  <si>
    <t>2414000090</t>
  </si>
  <si>
    <t>1013000000</t>
  </si>
  <si>
    <t>1019000000</t>
  </si>
  <si>
    <t>1019000080</t>
  </si>
  <si>
    <t>2600000000</t>
  </si>
  <si>
    <t>1110000080</t>
  </si>
  <si>
    <t>1113000000</t>
  </si>
  <si>
    <t>1113000080</t>
  </si>
  <si>
    <t>1113000090</t>
  </si>
  <si>
    <t>1115000000</t>
  </si>
  <si>
    <t>1116000000</t>
  </si>
  <si>
    <t>1117000080</t>
  </si>
  <si>
    <t>1118000000</t>
  </si>
  <si>
    <t>1119000000</t>
  </si>
  <si>
    <t>1214000000</t>
  </si>
  <si>
    <t>1216000080</t>
  </si>
  <si>
    <t>1217000000</t>
  </si>
  <si>
    <t>1217000080</t>
  </si>
  <si>
    <t>1218000000</t>
  </si>
  <si>
    <t>1219000080</t>
  </si>
  <si>
    <t>1235000080</t>
  </si>
  <si>
    <t>1310000000</t>
  </si>
  <si>
    <t>1300000000</t>
  </si>
  <si>
    <t>1410000000</t>
  </si>
  <si>
    <t>1400000000</t>
  </si>
  <si>
    <t>1410000090</t>
  </si>
  <si>
    <t>1411000000</t>
  </si>
  <si>
    <t>1411000090</t>
  </si>
  <si>
    <t>1511000000</t>
  </si>
  <si>
    <t>1511000090</t>
  </si>
  <si>
    <t>1512000090</t>
  </si>
  <si>
    <t>1011000000</t>
  </si>
  <si>
    <t>1012000000</t>
  </si>
  <si>
    <t>1010000000</t>
  </si>
  <si>
    <t>1014000000</t>
  </si>
  <si>
    <t>1100000000</t>
  </si>
  <si>
    <t>1110000000</t>
  </si>
  <si>
    <t>1114000000</t>
  </si>
  <si>
    <t>1114000080</t>
  </si>
  <si>
    <t>1114000090</t>
  </si>
  <si>
    <t>1115000080</t>
  </si>
  <si>
    <t>1117000000</t>
  </si>
  <si>
    <t>1118000080</t>
  </si>
  <si>
    <t>1119000080</t>
  </si>
  <si>
    <t>1213000080</t>
  </si>
  <si>
    <t>1200000000</t>
  </si>
  <si>
    <t>1213000000</t>
  </si>
  <si>
    <t>1214000080</t>
  </si>
  <si>
    <t>1216000000</t>
  </si>
  <si>
    <t>1218000080</t>
  </si>
  <si>
    <t>1219000000</t>
  </si>
  <si>
    <t>1235000000</t>
  </si>
  <si>
    <t>1310000080</t>
  </si>
  <si>
    <t>1412000000</t>
  </si>
  <si>
    <t>1412000090</t>
  </si>
  <si>
    <t>1511000080</t>
  </si>
  <si>
    <t>3120000000</t>
  </si>
  <si>
    <t>3120000080</t>
  </si>
  <si>
    <t>3210000000</t>
  </si>
  <si>
    <t>3200000000</t>
  </si>
  <si>
    <t>4215000000</t>
  </si>
  <si>
    <t>4216000000</t>
  </si>
  <si>
    <t>4218000000</t>
  </si>
  <si>
    <t>4221000000</t>
  </si>
  <si>
    <t>4222000000</t>
  </si>
  <si>
    <t>4320000000</t>
  </si>
  <si>
    <t>4320000090</t>
  </si>
  <si>
    <t>4411000000</t>
  </si>
  <si>
    <t>4411000090</t>
  </si>
  <si>
    <t>4412000090</t>
  </si>
  <si>
    <t>4513000000</t>
  </si>
  <si>
    <t>4514000000</t>
  </si>
  <si>
    <t>4514000080</t>
  </si>
  <si>
    <t>4921000000</t>
  </si>
  <si>
    <t>5010000000</t>
  </si>
  <si>
    <t>5000000000</t>
  </si>
  <si>
    <t>5010000090</t>
  </si>
  <si>
    <t>5011000000</t>
  </si>
  <si>
    <t>5012000000</t>
  </si>
  <si>
    <t>5013000000</t>
  </si>
  <si>
    <t>5013000090</t>
  </si>
  <si>
    <t>5015000000</t>
  </si>
  <si>
    <t>5016000090</t>
  </si>
  <si>
    <t>5018000000</t>
  </si>
  <si>
    <t>5019000000</t>
  </si>
  <si>
    <t>5019000090</t>
  </si>
  <si>
    <t>5020000000</t>
  </si>
  <si>
    <t>5020000090</t>
  </si>
  <si>
    <t>5021000000</t>
  </si>
  <si>
    <t>5021000090</t>
  </si>
  <si>
    <t>5030000090</t>
  </si>
  <si>
    <t>5031000000</t>
  </si>
  <si>
    <t>5031000090</t>
  </si>
  <si>
    <t>5110000000</t>
  </si>
  <si>
    <t>2517000000</t>
  </si>
  <si>
    <t>5100000000</t>
  </si>
  <si>
    <t>5111000000</t>
  </si>
  <si>
    <t>5112000000</t>
  </si>
  <si>
    <t>5112000080</t>
  </si>
  <si>
    <t>5113000000</t>
  </si>
  <si>
    <t>5113000080</t>
  </si>
  <si>
    <t>5114000080</t>
  </si>
  <si>
    <t>5115000000</t>
  </si>
  <si>
    <t>5115000080</t>
  </si>
  <si>
    <t>5116000000</t>
  </si>
  <si>
    <t>5119000000</t>
  </si>
  <si>
    <t>5119000080</t>
  </si>
  <si>
    <t>5120000000</t>
  </si>
  <si>
    <t>5120000080</t>
  </si>
  <si>
    <t>5121000000</t>
  </si>
  <si>
    <t>5121000080</t>
  </si>
  <si>
    <t>5124000000</t>
  </si>
  <si>
    <t>5124000080</t>
  </si>
  <si>
    <t>5125000000</t>
  </si>
  <si>
    <t>5125000080</t>
  </si>
  <si>
    <t>2517000080</t>
  </si>
  <si>
    <t>2610000000</t>
  </si>
  <si>
    <t>2610000080</t>
  </si>
  <si>
    <t>2610000090</t>
  </si>
  <si>
    <t>2611000000</t>
  </si>
  <si>
    <t>2611000080</t>
  </si>
  <si>
    <t>2611000090</t>
  </si>
  <si>
    <t>2612000000</t>
  </si>
  <si>
    <t>2612000080</t>
  </si>
  <si>
    <t>2612000090</t>
  </si>
  <si>
    <t>2711000000</t>
  </si>
  <si>
    <t>2700000000</t>
  </si>
  <si>
    <t>3010000000</t>
  </si>
  <si>
    <t>3000000000</t>
  </si>
  <si>
    <t>3011000000</t>
  </si>
  <si>
    <t>3011000080</t>
  </si>
  <si>
    <t>3011000090</t>
  </si>
  <si>
    <t>3013000000</t>
  </si>
  <si>
    <t>3014000000</t>
  </si>
  <si>
    <t>3014000080</t>
  </si>
  <si>
    <t>3015000000</t>
  </si>
  <si>
    <t>3015000080</t>
  </si>
  <si>
    <t>3016000000</t>
  </si>
  <si>
    <t>3016000080</t>
  </si>
  <si>
    <t>3017000000</t>
  </si>
  <si>
    <t>3018000000</t>
  </si>
  <si>
    <t>3019000000</t>
  </si>
  <si>
    <t>3020000000</t>
  </si>
  <si>
    <t>3110000000</t>
  </si>
  <si>
    <t>3100000000</t>
  </si>
  <si>
    <t>3111000000</t>
  </si>
  <si>
    <t>3112000000</t>
  </si>
  <si>
    <t>3113000000</t>
  </si>
  <si>
    <t>3114000000</t>
  </si>
  <si>
    <t>3115000000</t>
  </si>
  <si>
    <t>3116000000</t>
  </si>
  <si>
    <t>3117000000</t>
  </si>
  <si>
    <t>3118000000</t>
  </si>
  <si>
    <t>3119000000</t>
  </si>
  <si>
    <t>3119000080</t>
  </si>
  <si>
    <t>5215000090</t>
  </si>
  <si>
    <t>3211000000</t>
  </si>
  <si>
    <t>3212000000</t>
  </si>
  <si>
    <t>3213000000</t>
  </si>
  <si>
    <t>3213000080</t>
  </si>
  <si>
    <t>3214000000</t>
  </si>
  <si>
    <t>3214000080</t>
  </si>
  <si>
    <t>3215000000</t>
  </si>
  <si>
    <t>3910000000</t>
  </si>
  <si>
    <t>3900000000</t>
  </si>
  <si>
    <t>3910000080</t>
  </si>
  <si>
    <t>3911000000</t>
  </si>
  <si>
    <t>3911000080</t>
  </si>
  <si>
    <t>3912000000</t>
  </si>
  <si>
    <t>3913000000</t>
  </si>
  <si>
    <t>4014000000</t>
  </si>
  <si>
    <t>4014000080</t>
  </si>
  <si>
    <t>4015000000</t>
  </si>
  <si>
    <t>4015000080</t>
  </si>
  <si>
    <t>4016000000</t>
  </si>
  <si>
    <t>4016000080</t>
  </si>
  <si>
    <t>4111000000</t>
  </si>
  <si>
    <t>4223000000</t>
  </si>
  <si>
    <t>4224000000</t>
  </si>
  <si>
    <t>4225000000</t>
  </si>
  <si>
    <t>4710000000</t>
  </si>
  <si>
    <t>4700000000</t>
  </si>
  <si>
    <t>4710000080</t>
  </si>
  <si>
    <t>4712000000</t>
  </si>
  <si>
    <t>4713000000</t>
  </si>
  <si>
    <t>4713000080</t>
  </si>
  <si>
    <t>4713000090</t>
  </si>
  <si>
    <t>4910000000</t>
  </si>
  <si>
    <t>4900000000</t>
  </si>
  <si>
    <t>4912000000</t>
  </si>
  <si>
    <t>4913000000</t>
  </si>
  <si>
    <t>4913000080</t>
  </si>
  <si>
    <t>4914000000</t>
  </si>
  <si>
    <t>4915000000</t>
  </si>
  <si>
    <t>4916000000</t>
  </si>
  <si>
    <t>4917000000</t>
  </si>
  <si>
    <t>4918000000</t>
  </si>
  <si>
    <t>4922000000</t>
  </si>
  <si>
    <t>5011000090</t>
  </si>
  <si>
    <t>5012000090</t>
  </si>
  <si>
    <t>5015000090</t>
  </si>
  <si>
    <t>5016000000</t>
  </si>
  <si>
    <t>5017000000</t>
  </si>
  <si>
    <t>5017000090</t>
  </si>
  <si>
    <t>5018000090</t>
  </si>
  <si>
    <t>5022000000</t>
  </si>
  <si>
    <t>5022000090</t>
  </si>
  <si>
    <t>5030000000</t>
  </si>
  <si>
    <t>5040000000</t>
  </si>
  <si>
    <t>5040000090</t>
  </si>
  <si>
    <t>5041000000</t>
  </si>
  <si>
    <t>5041000090</t>
  </si>
  <si>
    <t>5110000080</t>
  </si>
  <si>
    <t>5111000080</t>
  </si>
  <si>
    <t>5114000000</t>
  </si>
  <si>
    <t>5116000080</t>
  </si>
  <si>
    <t>5117000000</t>
  </si>
  <si>
    <t>5117000080</t>
  </si>
  <si>
    <t>5118000000</t>
  </si>
  <si>
    <t>5118000080</t>
  </si>
  <si>
    <t>4112000000</t>
  </si>
  <si>
    <t>4212000000</t>
  </si>
  <si>
    <t>4200000000</t>
  </si>
  <si>
    <t>4213000000</t>
  </si>
  <si>
    <t>4214000000</t>
  </si>
  <si>
    <t>5310000000</t>
  </si>
  <si>
    <t>5300000000</t>
  </si>
  <si>
    <t>5311000000</t>
  </si>
  <si>
    <t>5313000000</t>
  </si>
  <si>
    <t>5512000000</t>
  </si>
  <si>
    <t>9010000000</t>
  </si>
  <si>
    <t>9000000000</t>
  </si>
  <si>
    <t>5217000000</t>
  </si>
  <si>
    <t>5312000000</t>
  </si>
  <si>
    <t>5314000000</t>
  </si>
  <si>
    <t>5410000000</t>
  </si>
  <si>
    <t>5400000000</t>
  </si>
  <si>
    <t>5411000000</t>
  </si>
  <si>
    <t>5510000000</t>
  </si>
  <si>
    <t>5500000000</t>
  </si>
  <si>
    <t>6011000000</t>
  </si>
  <si>
    <t>6012000000</t>
  </si>
  <si>
    <t>6012000080</t>
  </si>
  <si>
    <t>6014000000</t>
  </si>
  <si>
    <t>6010000000</t>
  </si>
  <si>
    <t>6000000000</t>
  </si>
  <si>
    <t>7010000000</t>
  </si>
  <si>
    <t>7000000000</t>
  </si>
  <si>
    <t>1311000000</t>
  </si>
  <si>
    <t>3122000000</t>
  </si>
  <si>
    <t>4226000000</t>
  </si>
  <si>
    <t>4227000000</t>
  </si>
  <si>
    <t>4229000000</t>
  </si>
  <si>
    <t>4230000000</t>
  </si>
  <si>
    <t>4231000000</t>
  </si>
  <si>
    <t>4232000000</t>
  </si>
  <si>
    <t>5210000000</t>
  </si>
  <si>
    <t>5200000000</t>
  </si>
  <si>
    <t>5212000000</t>
  </si>
  <si>
    <t>5215000000</t>
  </si>
  <si>
    <t>5510150900</t>
  </si>
  <si>
    <t>5510150000</t>
  </si>
  <si>
    <t>4321160000</t>
  </si>
  <si>
    <t>9999000400</t>
  </si>
  <si>
    <t>9999000600</t>
  </si>
  <si>
    <t>8888000700</t>
  </si>
  <si>
    <t>9999000800</t>
  </si>
  <si>
    <t>3123000000</t>
  </si>
  <si>
    <t>3124000000</t>
  </si>
  <si>
    <t>3126000000</t>
  </si>
  <si>
    <t>3128000080</t>
  </si>
  <si>
    <t>3130000080</t>
  </si>
  <si>
    <t>3131000000</t>
  </si>
  <si>
    <t>3132000000</t>
  </si>
  <si>
    <t>3135000000</t>
  </si>
  <si>
    <t>3122000080</t>
  </si>
  <si>
    <t>3125000000</t>
  </si>
  <si>
    <t>3127000000</t>
  </si>
  <si>
    <t>3127000080</t>
  </si>
  <si>
    <t>3128000000</t>
  </si>
  <si>
    <t>3129000000</t>
  </si>
  <si>
    <t>3129000080</t>
  </si>
  <si>
    <t>3130000000</t>
  </si>
  <si>
    <t>3133000000</t>
  </si>
  <si>
    <t>3134000000</t>
  </si>
  <si>
    <t>3136000000</t>
  </si>
  <si>
    <t>3137000000</t>
  </si>
  <si>
    <t>3138000000</t>
  </si>
  <si>
    <t>2412000080</t>
  </si>
  <si>
    <t>ALL ITEMS</t>
  </si>
  <si>
    <t>1115000090</t>
  </si>
  <si>
    <t>3121000000</t>
  </si>
  <si>
    <t>1311000080</t>
  </si>
  <si>
    <t>3121000080</t>
  </si>
  <si>
    <t>9900000000</t>
  </si>
  <si>
    <t>9999000000</t>
  </si>
  <si>
    <t>9999000100</t>
  </si>
  <si>
    <t>9999001000</t>
  </si>
  <si>
    <t>NPS Travel</t>
  </si>
  <si>
    <t>9011000000</t>
  </si>
  <si>
    <t>7811000000</t>
  </si>
  <si>
    <t>9012000000</t>
  </si>
  <si>
    <t>8888000400</t>
  </si>
  <si>
    <t>8888000900</t>
  </si>
  <si>
    <t>8888000100</t>
  </si>
  <si>
    <t>8888001100</t>
  </si>
  <si>
    <t>9999000500</t>
  </si>
  <si>
    <t>8888001000</t>
  </si>
  <si>
    <t>8800000000</t>
  </si>
  <si>
    <t>8888000000</t>
  </si>
  <si>
    <t>8888000200</t>
  </si>
  <si>
    <t>8888000300</t>
  </si>
  <si>
    <t>8888000500</t>
  </si>
  <si>
    <t>8888000800</t>
  </si>
  <si>
    <t>NPS Misc Contractual Services</t>
  </si>
  <si>
    <t>1017000080</t>
  </si>
  <si>
    <t>1017000000</t>
  </si>
  <si>
    <t>1015000000</t>
  </si>
  <si>
    <t>1016000000</t>
  </si>
  <si>
    <t>1017000090</t>
  </si>
  <si>
    <t>1111000000</t>
  </si>
  <si>
    <t>1112000000</t>
  </si>
  <si>
    <t>1510000000</t>
  </si>
  <si>
    <t>1500000000</t>
  </si>
  <si>
    <t>4323000000</t>
  </si>
  <si>
    <t>9212000000</t>
  </si>
  <si>
    <t>3012000000</t>
  </si>
  <si>
    <t>3022000000</t>
  </si>
  <si>
    <t>3023000000</t>
  </si>
  <si>
    <t>3024000000</t>
  </si>
  <si>
    <t>3025000000</t>
  </si>
  <si>
    <t>3025000080</t>
  </si>
  <si>
    <t>8012000000</t>
  </si>
  <si>
    <t>8000000000</t>
  </si>
  <si>
    <t>8311000000</t>
  </si>
  <si>
    <t>8212000000</t>
  </si>
  <si>
    <t>8213000000</t>
  </si>
  <si>
    <t>8312000000</t>
  </si>
  <si>
    <t>8410000000</t>
  </si>
  <si>
    <t>8400000000</t>
  </si>
  <si>
    <t>8411000000</t>
  </si>
  <si>
    <t>8412000000</t>
  </si>
  <si>
    <t>8511000000</t>
  </si>
  <si>
    <t>8512000000</t>
  </si>
  <si>
    <t>8610000000</t>
  </si>
  <si>
    <t>8600000000</t>
  </si>
  <si>
    <t>8611000000</t>
  </si>
  <si>
    <t>8612000000</t>
  </si>
  <si>
    <t>8613000000</t>
  </si>
  <si>
    <t>7110000090</t>
  </si>
  <si>
    <t>7112000080</t>
  </si>
  <si>
    <t>7114000090</t>
  </si>
  <si>
    <t>7115000000</t>
  </si>
  <si>
    <t>7600000000</t>
  </si>
  <si>
    <t>7610000080</t>
  </si>
  <si>
    <t>7610000090</t>
  </si>
  <si>
    <t>7611000000</t>
  </si>
  <si>
    <t>7612000000</t>
  </si>
  <si>
    <t>7612000080</t>
  </si>
  <si>
    <t>7710000000</t>
  </si>
  <si>
    <t>7700000000</t>
  </si>
  <si>
    <t>7710000080</t>
  </si>
  <si>
    <t>7710000090</t>
  </si>
  <si>
    <t>7711000000</t>
  </si>
  <si>
    <t>7711000080</t>
  </si>
  <si>
    <t>7711000090</t>
  </si>
  <si>
    <t>7712000000</t>
  </si>
  <si>
    <t>7712000080</t>
  </si>
  <si>
    <t>7712000090</t>
  </si>
  <si>
    <t>7713000000</t>
  </si>
  <si>
    <t>7818000000</t>
  </si>
  <si>
    <t>8510000000</t>
  </si>
  <si>
    <t>8500000000</t>
  </si>
  <si>
    <t>8513000000</t>
  </si>
  <si>
    <t>8514000000</t>
  </si>
  <si>
    <t>8515000000</t>
  </si>
  <si>
    <t>8614000000</t>
  </si>
  <si>
    <t>7115000080</t>
  </si>
  <si>
    <t>7115000090</t>
  </si>
  <si>
    <t>7116000000</t>
  </si>
  <si>
    <t>7210000000</t>
  </si>
  <si>
    <t>7200000000</t>
  </si>
  <si>
    <t>7213000000</t>
  </si>
  <si>
    <t>7611000080</t>
  </si>
  <si>
    <t>7613000080</t>
  </si>
  <si>
    <t>7613000000</t>
  </si>
  <si>
    <t>7713000080</t>
  </si>
  <si>
    <t>7713000090</t>
  </si>
  <si>
    <t>7810000000</t>
  </si>
  <si>
    <t>7800000000</t>
  </si>
  <si>
    <t>7812000000</t>
  </si>
  <si>
    <t>7813000000</t>
  </si>
  <si>
    <t>7814000000</t>
  </si>
  <si>
    <t>8010000000</t>
  </si>
  <si>
    <t>8011000000</t>
  </si>
  <si>
    <t>9110000000</t>
  </si>
  <si>
    <t>9100000000</t>
  </si>
  <si>
    <t>9111000000</t>
  </si>
  <si>
    <t>9210000000</t>
  </si>
  <si>
    <t>7012000000</t>
  </si>
  <si>
    <t>7014000000</t>
  </si>
  <si>
    <t>7017000000</t>
  </si>
  <si>
    <t>7017000090</t>
  </si>
  <si>
    <t>9200000000</t>
  </si>
  <si>
    <t>9211000000</t>
  </si>
  <si>
    <t>9311000000</t>
  </si>
  <si>
    <t>9312000000</t>
  </si>
  <si>
    <t>7011000000</t>
  </si>
  <si>
    <t>7012000080</t>
  </si>
  <si>
    <t>7017000080</t>
  </si>
  <si>
    <t>7110000000</t>
  </si>
  <si>
    <t>7100000000</t>
  </si>
  <si>
    <t>7110000080</t>
  </si>
  <si>
    <t>8013000000</t>
  </si>
  <si>
    <t>8014000000</t>
  </si>
  <si>
    <t>8015000000</t>
  </si>
  <si>
    <t>8016000000</t>
  </si>
  <si>
    <t>8113000000</t>
  </si>
  <si>
    <t>8114000000</t>
  </si>
  <si>
    <t>8116000000</t>
  </si>
  <si>
    <t>8210000000</t>
  </si>
  <si>
    <t>8200000000</t>
  </si>
  <si>
    <t>8211000000</t>
  </si>
  <si>
    <t>8300000000</t>
  </si>
  <si>
    <t>7317000000</t>
  </si>
  <si>
    <t>7318000000</t>
  </si>
  <si>
    <t>7610000000</t>
  </si>
  <si>
    <t>9310000000</t>
  </si>
  <si>
    <t>9300000000</t>
  </si>
  <si>
    <t>9313000000</t>
  </si>
  <si>
    <t>9314000000</t>
  </si>
  <si>
    <t>9315000000</t>
  </si>
  <si>
    <t>9317000000</t>
  </si>
  <si>
    <t>9410000000</t>
  </si>
  <si>
    <t>9400000000</t>
  </si>
  <si>
    <t>9411000000</t>
  </si>
  <si>
    <t>9412000000</t>
  </si>
  <si>
    <t>9413000000</t>
  </si>
  <si>
    <t>7111000000</t>
  </si>
  <si>
    <t>7111000080</t>
  </si>
  <si>
    <t>7111000090</t>
  </si>
  <si>
    <t>7112000000</t>
  </si>
  <si>
    <t>7112000090</t>
  </si>
  <si>
    <t>7113000000</t>
  </si>
  <si>
    <t>7113000080</t>
  </si>
  <si>
    <t>7113000090</t>
  </si>
  <si>
    <t>7114000000</t>
  </si>
  <si>
    <t>7114000080</t>
  </si>
  <si>
    <t>7310000000</t>
  </si>
  <si>
    <t>7300000000</t>
  </si>
  <si>
    <t>7310000080</t>
  </si>
  <si>
    <t>7311000000</t>
  </si>
  <si>
    <t>7312000000</t>
  </si>
  <si>
    <t>7312000080</t>
  </si>
  <si>
    <t>7313000000</t>
  </si>
  <si>
    <t>7314000000</t>
  </si>
  <si>
    <t>7315000000</t>
  </si>
  <si>
    <t>7315000090</t>
  </si>
  <si>
    <t>7316000000</t>
  </si>
  <si>
    <t>7316000080</t>
  </si>
  <si>
    <t>8110000000</t>
  </si>
  <si>
    <t>8100000000</t>
  </si>
  <si>
    <t>8111000000</t>
  </si>
  <si>
    <t>8112000000</t>
  </si>
  <si>
    <t>8115000000</t>
  </si>
  <si>
    <t>9999000900</t>
  </si>
  <si>
    <t>7210150000</t>
  </si>
  <si>
    <t>8011160100</t>
  </si>
  <si>
    <t>8011160000</t>
  </si>
  <si>
    <t>0000000900</t>
  </si>
  <si>
    <t>900</t>
  </si>
  <si>
    <t>80120000</t>
  </si>
  <si>
    <t>8888000600</t>
  </si>
  <si>
    <t>4412151300</t>
  </si>
  <si>
    <t>8214000000</t>
  </si>
  <si>
    <t>8413000000</t>
  </si>
  <si>
    <t>8111180500</t>
  </si>
  <si>
    <t>8111180000</t>
  </si>
  <si>
    <t>9212150400</t>
  </si>
  <si>
    <t>9212150000</t>
  </si>
  <si>
    <t>7611150100</t>
  </si>
  <si>
    <t>7611150000</t>
  </si>
  <si>
    <t>4412150000</t>
  </si>
  <si>
    <t>5510151900</t>
  </si>
  <si>
    <t>7210150600</t>
  </si>
  <si>
    <t>7210150900</t>
  </si>
  <si>
    <t>7210290000</t>
  </si>
  <si>
    <t>0000001000</t>
  </si>
  <si>
    <t>1000</t>
  </si>
  <si>
    <t>0000002000</t>
  </si>
  <si>
    <t>2000</t>
  </si>
  <si>
    <t>9999000200</t>
  </si>
  <si>
    <t>9999000300</t>
  </si>
  <si>
    <t>9999000700</t>
  </si>
  <si>
    <t>7215406600</t>
  </si>
  <si>
    <t>7215000000</t>
  </si>
  <si>
    <t>7215400000</t>
  </si>
  <si>
    <t>7210210300</t>
  </si>
  <si>
    <t>7210210000</t>
  </si>
  <si>
    <t>7210151100</t>
  </si>
  <si>
    <t>7210330200</t>
  </si>
  <si>
    <t>7210330000</t>
  </si>
  <si>
    <t>8310000000</t>
  </si>
  <si>
    <t>NPS Equipment Acquisitions</t>
  </si>
  <si>
    <t>5611000000</t>
  </si>
  <si>
    <t>2012000000</t>
  </si>
  <si>
    <t>2012000080</t>
  </si>
  <si>
    <t>2013000000</t>
  </si>
  <si>
    <t>2013000080</t>
  </si>
  <si>
    <t>2014000000</t>
  </si>
  <si>
    <t>2014000080</t>
  </si>
  <si>
    <t>2110000000</t>
  </si>
  <si>
    <t>2100000000</t>
  </si>
  <si>
    <t>2314000000</t>
  </si>
  <si>
    <t>2314000080</t>
  </si>
  <si>
    <t>2315000000</t>
  </si>
  <si>
    <t>2315000080</t>
  </si>
  <si>
    <t>2316000000</t>
  </si>
  <si>
    <t>2316000080</t>
  </si>
  <si>
    <t>2318000000</t>
  </si>
  <si>
    <t>2319000000</t>
  </si>
  <si>
    <t>2320000000</t>
  </si>
  <si>
    <t>2320000080</t>
  </si>
  <si>
    <t>2324000080</t>
  </si>
  <si>
    <t>2325000000</t>
  </si>
  <si>
    <t>2325000080</t>
  </si>
  <si>
    <t>2326000000</t>
  </si>
  <si>
    <t>2326000080</t>
  </si>
  <si>
    <t>2327000000</t>
  </si>
  <si>
    <t>2327000080</t>
  </si>
  <si>
    <t>2328000000</t>
  </si>
  <si>
    <t>2328000080</t>
  </si>
  <si>
    <t>2329000000</t>
  </si>
  <si>
    <t>2329000080</t>
  </si>
  <si>
    <t>2410000000</t>
  </si>
  <si>
    <t>2400000000</t>
  </si>
  <si>
    <t>2410000080</t>
  </si>
  <si>
    <t>2413000000</t>
  </si>
  <si>
    <t>2510000000</t>
  </si>
  <si>
    <t>2500000000</t>
  </si>
  <si>
    <t>2510000090</t>
  </si>
  <si>
    <t>2511000000</t>
  </si>
  <si>
    <t>2512000000</t>
  </si>
  <si>
    <t>2513000000</t>
  </si>
  <si>
    <t>2513000080</t>
  </si>
  <si>
    <t>2515000000</t>
  </si>
  <si>
    <t>2010000000</t>
  </si>
  <si>
    <t>2000000000</t>
  </si>
  <si>
    <t>2010000080</t>
  </si>
  <si>
    <t>2011000000</t>
  </si>
  <si>
    <t>2011000080</t>
  </si>
  <si>
    <t>2110000080</t>
  </si>
  <si>
    <t>2111000000</t>
  </si>
  <si>
    <t>2111000080</t>
  </si>
  <si>
    <t>2210000000</t>
  </si>
  <si>
    <t>2200000000</t>
  </si>
  <si>
    <t>2210000080</t>
  </si>
  <si>
    <t>2310000000</t>
  </si>
  <si>
    <t>2300000000</t>
  </si>
  <si>
    <t>2310000080</t>
  </si>
  <si>
    <t>2311000000</t>
  </si>
  <si>
    <t>2311000080</t>
  </si>
  <si>
    <t>2312000000</t>
  </si>
  <si>
    <t>2312000080</t>
  </si>
  <si>
    <t>2313000000</t>
  </si>
  <si>
    <t>2313000080</t>
  </si>
  <si>
    <t>2321000000</t>
  </si>
  <si>
    <t>2321000080</t>
  </si>
  <si>
    <t>2322000000</t>
  </si>
  <si>
    <t>2322000080</t>
  </si>
  <si>
    <t>2323000000</t>
  </si>
  <si>
    <t>2323000080</t>
  </si>
  <si>
    <t>2324000000</t>
  </si>
  <si>
    <t>4219000000</t>
  </si>
  <si>
    <t>4220000000</t>
  </si>
  <si>
    <t>4319000000</t>
  </si>
  <si>
    <t>4322000000</t>
  </si>
  <si>
    <t>4410000000</t>
  </si>
  <si>
    <t>4400000000</t>
  </si>
  <si>
    <t>4410000090</t>
  </si>
  <si>
    <t>4510000000</t>
  </si>
  <si>
    <t>4500000000</t>
  </si>
  <si>
    <t>4510000080</t>
  </si>
  <si>
    <t>4511000000</t>
  </si>
  <si>
    <t>4512000000</t>
  </si>
  <si>
    <t>4610000000</t>
  </si>
  <si>
    <t>4600000000</t>
  </si>
  <si>
    <t>4610000080</t>
  </si>
  <si>
    <t>4611000000</t>
  </si>
  <si>
    <t>2515000080</t>
  </si>
  <si>
    <t>2516000090</t>
  </si>
  <si>
    <t>2518000000</t>
  </si>
  <si>
    <t>2519000000</t>
  </si>
  <si>
    <t>2520000080</t>
  </si>
  <si>
    <t>4611000080</t>
  </si>
  <si>
    <t>4612000000</t>
  </si>
  <si>
    <t>2516000000</t>
  </si>
  <si>
    <t>2520000000</t>
  </si>
  <si>
    <t>2613000000</t>
  </si>
  <si>
    <t>2613000080</t>
  </si>
  <si>
    <t>2613000090</t>
  </si>
  <si>
    <t>2614000000</t>
  </si>
  <si>
    <t>2614000080</t>
  </si>
  <si>
    <t>2712000000</t>
  </si>
  <si>
    <t>2712000080</t>
  </si>
  <si>
    <t>2713000000</t>
  </si>
  <si>
    <t>2713000080</t>
  </si>
  <si>
    <t>2714000000</t>
  </si>
  <si>
    <t>2714000080</t>
  </si>
  <si>
    <t>5214000000</t>
  </si>
  <si>
    <t>4010000000</t>
  </si>
  <si>
    <t>4000000000</t>
  </si>
  <si>
    <t>4010000090</t>
  </si>
  <si>
    <t>4100000000</t>
  </si>
  <si>
    <t>4217000000</t>
  </si>
  <si>
    <t>4612000080</t>
  </si>
  <si>
    <t>4711000000</t>
  </si>
  <si>
    <t>4711000080</t>
  </si>
  <si>
    <t>4810000000</t>
  </si>
  <si>
    <t>4800000000</t>
  </si>
  <si>
    <t>4811000000</t>
  </si>
  <si>
    <t>4812000000</t>
  </si>
  <si>
    <t>4920000000</t>
  </si>
  <si>
    <t>4924000000</t>
  </si>
  <si>
    <t>5216000000</t>
  </si>
  <si>
    <t>5610000000</t>
  </si>
  <si>
    <t>5610000090</t>
  </si>
  <si>
    <t>8516000000</t>
  </si>
  <si>
    <t>4615000000</t>
  </si>
  <si>
    <t>4615000080</t>
  </si>
  <si>
    <t>4617000000</t>
  </si>
  <si>
    <t>4617000080</t>
  </si>
  <si>
    <t>4618000000</t>
  </si>
  <si>
    <t>5412000000</t>
  </si>
  <si>
    <t>5611000090</t>
  </si>
  <si>
    <t>5613000000</t>
  </si>
  <si>
    <t>5613000090</t>
  </si>
  <si>
    <t>7013000090</t>
  </si>
  <si>
    <t>7015000090</t>
  </si>
  <si>
    <t>5612000090</t>
  </si>
  <si>
    <t>6013000000</t>
  </si>
  <si>
    <t>7013000000</t>
  </si>
  <si>
    <t>7013000080</t>
  </si>
  <si>
    <t>7015000000</t>
  </si>
  <si>
    <t>7016000000</t>
  </si>
  <si>
    <t>7016000090</t>
  </si>
  <si>
    <t>4228000000</t>
  </si>
  <si>
    <t>4613000000</t>
  </si>
  <si>
    <t>4613000080</t>
  </si>
  <si>
    <t>4614000000</t>
  </si>
  <si>
    <t>4614000080</t>
  </si>
  <si>
    <t>5612000000</t>
  </si>
  <si>
    <t>5213000000</t>
  </si>
  <si>
    <t>4616000000</t>
  </si>
  <si>
    <t>4616000080</t>
  </si>
  <si>
    <t>4618000080</t>
  </si>
  <si>
    <t>4619000000</t>
  </si>
  <si>
    <t>4619000080</t>
  </si>
  <si>
    <t>4300000000</t>
  </si>
  <si>
    <t>4321000000</t>
  </si>
  <si>
    <t>Budgetary Account : Code</t>
  </si>
  <si>
    <t>51006 : Lubricants, oil, grease</t>
  </si>
  <si>
    <t>51006 : Lubricants, oil, grease - Haz</t>
  </si>
  <si>
    <t>51101 : Fuel, nuclear reactors</t>
  </si>
  <si>
    <t>51101 : Fuel, nuclear reactors - Haz</t>
  </si>
  <si>
    <t>51006 : Containers &amp; storage</t>
  </si>
  <si>
    <t>51004 : Packaging mtrls</t>
  </si>
  <si>
    <t>51004 : Packaging mtrls - Grn</t>
  </si>
  <si>
    <t>51004 : Packing supplies</t>
  </si>
  <si>
    <t>51004 : Packing supplies - Grn</t>
  </si>
  <si>
    <t>51101 : Animal containment &amp; habitats</t>
  </si>
  <si>
    <t>51006 : Pest ctrl products</t>
  </si>
  <si>
    <t>51006 : Pest ctrl products - Haz</t>
  </si>
  <si>
    <t>53151 : 2600000000</t>
  </si>
  <si>
    <t>51101 : Minerals ores metals - Haz</t>
  </si>
  <si>
    <t>51004 : Non edible animal products</t>
  </si>
  <si>
    <t>51004 : Non edible animal prods - Haz</t>
  </si>
  <si>
    <t>51004 : Non edible animal pros - Grn</t>
  </si>
  <si>
    <t>51004 : Fibers &amp; threads &amp; yarns</t>
  </si>
  <si>
    <t>51105 : Fabrics &amp; leather mtrls</t>
  </si>
  <si>
    <t>51004 : Alloys - Haz</t>
  </si>
  <si>
    <t>51004 : Metal oxide</t>
  </si>
  <si>
    <t>51004 : Metal waste &amp; scrap</t>
  </si>
  <si>
    <t>51101 : Elements &amp; gases</t>
  </si>
  <si>
    <t>51101 : Additives - Haz</t>
  </si>
  <si>
    <t>51101 : Colorants</t>
  </si>
  <si>
    <t>51101 : Colorants - Haz</t>
  </si>
  <si>
    <t>51101 : Waxes &amp; oils</t>
  </si>
  <si>
    <t>51101 : Solvents - Haz</t>
  </si>
  <si>
    <t>51101 : Compounds &amp; mixtures - Haz</t>
  </si>
  <si>
    <t>51101 : Rubber &amp; elastomers</t>
  </si>
  <si>
    <t>51101 : 1300000000</t>
  </si>
  <si>
    <t>51002 : Paper mtrls</t>
  </si>
  <si>
    <t>51002 : 1400000000</t>
  </si>
  <si>
    <t>51002 : Paper mtrls - Grn</t>
  </si>
  <si>
    <t>51002 : Paper products</t>
  </si>
  <si>
    <t>51002 : Paper products - Grn</t>
  </si>
  <si>
    <t>51004 : Gaseous fuels &amp; additives</t>
  </si>
  <si>
    <t>51004 : Gaseous fuels additives - Grn</t>
  </si>
  <si>
    <t>51006 : Lubricants, oil, grease - Grn</t>
  </si>
  <si>
    <t>51101 : Domestic pet products</t>
  </si>
  <si>
    <t>51101 : Animal feed</t>
  </si>
  <si>
    <t>51101 : Live animals</t>
  </si>
  <si>
    <t>51101 : Saddlery &amp; harness goods</t>
  </si>
  <si>
    <t>51101 : 1100000000</t>
  </si>
  <si>
    <t>51101 : Minerals &amp; ores &amp; metals</t>
  </si>
  <si>
    <t>51004 : Scrap &amp; waste mtrls</t>
  </si>
  <si>
    <t>51004 : Scrap &amp; waste mtrls - Haz</t>
  </si>
  <si>
    <t>51004 : Scrap &amp; waste material - Grn</t>
  </si>
  <si>
    <t>51004 : Fibers threads yarns - Haz</t>
  </si>
  <si>
    <t>51004 : Alloys</t>
  </si>
  <si>
    <t>51004 : Metal oxide - Haz</t>
  </si>
  <si>
    <t>51004 : Metal waste &amp; scrap - Haz</t>
  </si>
  <si>
    <t>51004 : Explosive mtrls - Haz</t>
  </si>
  <si>
    <t>51004 : 1200000000</t>
  </si>
  <si>
    <t>51004 : 1213000000</t>
  </si>
  <si>
    <t>51101 : Elements &amp; gases - Haz</t>
  </si>
  <si>
    <t>51101 : Additives</t>
  </si>
  <si>
    <t>51101 : Waxes &amp; oils - Haz</t>
  </si>
  <si>
    <t>51101 : Solvents</t>
  </si>
  <si>
    <t>51101 : Compounds &amp; mixtures</t>
  </si>
  <si>
    <t>51101 : Rubber &amp; elastomers - Haz</t>
  </si>
  <si>
    <t>51002 : indstrl use papers</t>
  </si>
  <si>
    <t>51002 : indstrl use papers - Grn</t>
  </si>
  <si>
    <t>51004 : Gaseous fuels additives - Haz</t>
  </si>
  <si>
    <t>51006 : Adhesives &amp; sealants</t>
  </si>
  <si>
    <t>51006 : Adhesives &amp; sealants - Haz</t>
  </si>
  <si>
    <t>51006 : Circuitry &amp; microasmblis</t>
  </si>
  <si>
    <t>51006 : 3200000000</t>
  </si>
  <si>
    <t>51101 : Dental equip &amp; supplies</t>
  </si>
  <si>
    <t>51101 : Dialysis equip &amp; supplies</t>
  </si>
  <si>
    <t>51101 : Patient exam products</t>
  </si>
  <si>
    <t>51004 : Aids for ADA compliance</t>
  </si>
  <si>
    <t>51101 : Intravenous products</t>
  </si>
  <si>
    <t>51003 : Telecommunications parts</t>
  </si>
  <si>
    <t>51003 : Telecommunications parts - Grn</t>
  </si>
  <si>
    <t>51001 : Office &amp; desk accssrs</t>
  </si>
  <si>
    <t>51001 : Office &amp; desk accssrs - Grn</t>
  </si>
  <si>
    <t>51001 : Office supplies</t>
  </si>
  <si>
    <t>51001 : Office supplies - Grn</t>
  </si>
  <si>
    <t>51004 : Photographic &amp; recording media</t>
  </si>
  <si>
    <t>51004 : Photo, filmmaking supplies</t>
  </si>
  <si>
    <t>51004 : Photographic supplies - Haz</t>
  </si>
  <si>
    <t>51107 : Other sports</t>
  </si>
  <si>
    <t>51005 : Nuts &amp; seeds</t>
  </si>
  <si>
    <t>51005 : 5000000000</t>
  </si>
  <si>
    <t>51005 : Nuts &amp; seeds - Grn</t>
  </si>
  <si>
    <t>51005 : Meat &amp; poultry products</t>
  </si>
  <si>
    <t>51005 : Seafood</t>
  </si>
  <si>
    <t>51005 : Dairy products &amp; eggs</t>
  </si>
  <si>
    <t>51005 : Dairy products &amp; eggs - Grn</t>
  </si>
  <si>
    <t>51005 : Edible oils &amp; fats</t>
  </si>
  <si>
    <t>51005 : Confectionary products - Grn</t>
  </si>
  <si>
    <t>51005 : Bread &amp; bakery products</t>
  </si>
  <si>
    <t>51005 : Packaged foods</t>
  </si>
  <si>
    <t>51005 : Packaged foods - Grn</t>
  </si>
  <si>
    <t>51005 : Beverages</t>
  </si>
  <si>
    <t>51005 : Beverages - Grn</t>
  </si>
  <si>
    <t>51005 : Tobacco products</t>
  </si>
  <si>
    <t>51005 : Tobacco products - Grn</t>
  </si>
  <si>
    <t>51005 : Fresh fruits - Grn</t>
  </si>
  <si>
    <t>51005 : Organic fresh fruits</t>
  </si>
  <si>
    <t>51005 : Organic fresh fruits - Grn</t>
  </si>
  <si>
    <t>51004 : Anti infective drugs</t>
  </si>
  <si>
    <t>53151 : Trnsprtn parts &amp; syst</t>
  </si>
  <si>
    <t>51004 : 5100000000</t>
  </si>
  <si>
    <t>51004 : Antineoplastic agents</t>
  </si>
  <si>
    <t>51004 : Cardiovascular drugs</t>
  </si>
  <si>
    <t>51004 : Cardiovascular drugs - Haz</t>
  </si>
  <si>
    <t>51004 : Hematolic drugs</t>
  </si>
  <si>
    <t>51004 : Hematolic drugs - Haz</t>
  </si>
  <si>
    <t>51004 : Centrl nerve systm drugs - Haz</t>
  </si>
  <si>
    <t>51004 : Auto nerve systm drugs</t>
  </si>
  <si>
    <t>51004 : Auto nerve systm drugs - Haz</t>
  </si>
  <si>
    <t>51004 : Respiratory tract drugs</t>
  </si>
  <si>
    <t>51004 : Electrolytes agents</t>
  </si>
  <si>
    <t>51004 : Electrolytes agents - Haz</t>
  </si>
  <si>
    <t>51004 : Immunomodulating drugs</t>
  </si>
  <si>
    <t>51004 : Immunomodulating drugs - Haz</t>
  </si>
  <si>
    <t>51004 : Miscellaneous drug</t>
  </si>
  <si>
    <t>51004 : Miscellaneous drug - Haz</t>
  </si>
  <si>
    <t>51004 : Drugs for ear, eye, nose</t>
  </si>
  <si>
    <t>51004 : Drugs for ear, eye, nose - Haz</t>
  </si>
  <si>
    <t>51004 : Veterinary nutrition</t>
  </si>
  <si>
    <t>51004 : Veterinary nutrition - Haz</t>
  </si>
  <si>
    <t>53151 : Trnsprtn parts &amp; syst - Haz</t>
  </si>
  <si>
    <t>53151 : Power sources</t>
  </si>
  <si>
    <t>53151 : Power sources - Haz</t>
  </si>
  <si>
    <t>53151 : Power sources - Grn</t>
  </si>
  <si>
    <t>53151 : Batteries &amp; generators</t>
  </si>
  <si>
    <t>53151 : Batteries &amp; generators - Haz</t>
  </si>
  <si>
    <t>53151 : Batteries &amp; generators - Grn</t>
  </si>
  <si>
    <t>51006 : Electrical wire &amp; cable</t>
  </si>
  <si>
    <t>51006 : Electrical wire &amp; cable - Haz</t>
  </si>
  <si>
    <t>51006 : Electrical wire &amp; cable -Grn</t>
  </si>
  <si>
    <t>51006 : Hand tools</t>
  </si>
  <si>
    <t>51006 : 2700000000</t>
  </si>
  <si>
    <t>51006 : Structural mtrls</t>
  </si>
  <si>
    <t>51006 : 3000000000</t>
  </si>
  <si>
    <t>51006 : Concrete &amp; cement &amp; plaster</t>
  </si>
  <si>
    <t>51006 : Concrete &amp; cement - Haz</t>
  </si>
  <si>
    <t>51006 : Concrete &amp; cement - Grn</t>
  </si>
  <si>
    <t>51006 : Structural bldg products</t>
  </si>
  <si>
    <t>51006 : Insulation</t>
  </si>
  <si>
    <t>51006 : Insulation - Haz</t>
  </si>
  <si>
    <t>51006 : Exterior finishing mtrls</t>
  </si>
  <si>
    <t>51006 : Exterior finishing mtrls - Haz</t>
  </si>
  <si>
    <t>51006 : Interior finishing mtrls</t>
  </si>
  <si>
    <t>51006 : Interior finishing mtrls - Haz</t>
  </si>
  <si>
    <t>51006 : Doors &amp; windows &amp; glass</t>
  </si>
  <si>
    <t>51006 : Plumbing fixtures</t>
  </si>
  <si>
    <t>51006 : Constrctn &amp; mntnc equip</t>
  </si>
  <si>
    <t>51006 : Prefabricated structures</t>
  </si>
  <si>
    <t>51006 : Castings</t>
  </si>
  <si>
    <t>51006 : 3100000000</t>
  </si>
  <si>
    <t>51006 : Extrusions</t>
  </si>
  <si>
    <t>51006 : Machined castings</t>
  </si>
  <si>
    <t>51006 : Forgings</t>
  </si>
  <si>
    <t>51006 : Moldings</t>
  </si>
  <si>
    <t>51006 : Rope, chain, cable, wire, etc</t>
  </si>
  <si>
    <t>51006 : Hardware</t>
  </si>
  <si>
    <t>51006 : Bearings, bushings, gears, etc</t>
  </si>
  <si>
    <t>51006 : Gaskets &amp; seals</t>
  </si>
  <si>
    <t>51006 : Grinding &amp; polish mtrls</t>
  </si>
  <si>
    <t>51006 : Grinding &amp; polish mtrls - Haz</t>
  </si>
  <si>
    <t>51004 : Kitchen supplies - Grn</t>
  </si>
  <si>
    <t>51006 : Discrete semiconductor devices</t>
  </si>
  <si>
    <t>51006 : Passive discrete parts</t>
  </si>
  <si>
    <t>51006 : Electronic hdwr &amp; parts</t>
  </si>
  <si>
    <t>51006 : Electronic hdwr &amp; parts - Haz</t>
  </si>
  <si>
    <t>51006 : Electron tubes &amp; accssrs</t>
  </si>
  <si>
    <t>51006 : Electron tubes &amp; accssrs - Haz</t>
  </si>
  <si>
    <t>51006 : Automation ctrl devices</t>
  </si>
  <si>
    <t>51006 : Lamps, bulbs &amp; parts</t>
  </si>
  <si>
    <t>51006 : 3900000000</t>
  </si>
  <si>
    <t>51006 : Lamps, bulbs &amp; parts - Haz</t>
  </si>
  <si>
    <t>51006 : Light Fixtures &amp; parts</t>
  </si>
  <si>
    <t>51006 : Light Fixtures &amp; parts - Haz</t>
  </si>
  <si>
    <t>51006 : Electrical equip &amp; parts</t>
  </si>
  <si>
    <t>51006 : Electrical wire mgmt supplies</t>
  </si>
  <si>
    <t>51006 : Fluid &amp; gas distribution</t>
  </si>
  <si>
    <t>51006 : Fluid &amp; gas distribution - Haz</t>
  </si>
  <si>
    <t>51006 : Pumps &amp; compressors</t>
  </si>
  <si>
    <t>51006 : Pumps &amp; compressors - Haz</t>
  </si>
  <si>
    <t>51006 : Filtering &amp; purification</t>
  </si>
  <si>
    <t>51006 : Filtering &amp; purification - Haz</t>
  </si>
  <si>
    <t>51101 : Measuring, testing instruments</t>
  </si>
  <si>
    <t>51101 : Clinical nutrition</t>
  </si>
  <si>
    <t>51101 : Orthopedic products</t>
  </si>
  <si>
    <t>51101 : Physical Therapy products</t>
  </si>
  <si>
    <t>51004 : Water treatment supply</t>
  </si>
  <si>
    <t>51004 : 4700000000</t>
  </si>
  <si>
    <t>51004 : Water treatment supply - Haz</t>
  </si>
  <si>
    <t>51006 : Janitorial equip</t>
  </si>
  <si>
    <t>51006 : Janitorial supplies</t>
  </si>
  <si>
    <t>51006 : Janitorial supplies - Haz</t>
  </si>
  <si>
    <t>51006 : Janitorial supplies - Grn</t>
  </si>
  <si>
    <t>53805 : Collectibles &amp; awards</t>
  </si>
  <si>
    <t>53805 : 4900000000</t>
  </si>
  <si>
    <t>51107 : Camping accssrs</t>
  </si>
  <si>
    <t>51107 : fshng &amp; hunting equip</t>
  </si>
  <si>
    <t>51107 : fshng &amp; hunting equip - Haz</t>
  </si>
  <si>
    <t>51107 : Watersports equip</t>
  </si>
  <si>
    <t>51107 : Winter sports equip</t>
  </si>
  <si>
    <t>51107 : Field &amp; court sports equip</t>
  </si>
  <si>
    <t>51107 : Gymnastics &amp; boxing equip</t>
  </si>
  <si>
    <t>51107 : Target &amp; table games &amp; equip</t>
  </si>
  <si>
    <t>51107 : Sports equip &amp; accssrs</t>
  </si>
  <si>
    <t>51005 : Meat &amp; poultry products - Grn</t>
  </si>
  <si>
    <t>51005 : Seafood - Grn</t>
  </si>
  <si>
    <t>51005 : Edible oils &amp; fats - Grn</t>
  </si>
  <si>
    <t>51005 : Confectionary products</t>
  </si>
  <si>
    <t>51005 : Seasonings</t>
  </si>
  <si>
    <t>51005 : Seasonings - Grn</t>
  </si>
  <si>
    <t>51005 : Bread &amp; bakery products - Grn</t>
  </si>
  <si>
    <t>51005 : Cereal &amp; pulse products</t>
  </si>
  <si>
    <t>51005 : Cereal &amp; pulse products - Grn</t>
  </si>
  <si>
    <t>51005 : Fresh fruits</t>
  </si>
  <si>
    <t>51005 : Fresh vegetables</t>
  </si>
  <si>
    <t>51005 : Fresh vegetables - Grn</t>
  </si>
  <si>
    <t>51005 : Organic fresh vegetables</t>
  </si>
  <si>
    <t>51005 : Organic fresh vegetables - Grn</t>
  </si>
  <si>
    <t>51004 : Anti infective drugs - Haz</t>
  </si>
  <si>
    <t>51004 : Antineoplastic agents - Haz</t>
  </si>
  <si>
    <t>51004 : Centrl nerve systm drugs</t>
  </si>
  <si>
    <t>51004 : Respiratory tract drugs - Haz</t>
  </si>
  <si>
    <t>51004 : Gastrointestinal drugs</t>
  </si>
  <si>
    <t>51004 : Gastrointestinal drugs - Haz</t>
  </si>
  <si>
    <t>51004 : Hormones</t>
  </si>
  <si>
    <t>51004 : Hormones - Haz</t>
  </si>
  <si>
    <t>51101 : Laboratory supplies &amp; fixtures</t>
  </si>
  <si>
    <t>51101 : Veterinary equip &amp; supplies</t>
  </si>
  <si>
    <t>51101 : 4200000000</t>
  </si>
  <si>
    <t>51101 : Med apparel &amp; textiles</t>
  </si>
  <si>
    <t>51101 : Patient treatment supplies</t>
  </si>
  <si>
    <t>51004 : Clothing</t>
  </si>
  <si>
    <t>51004 : 5300000000</t>
  </si>
  <si>
    <t>51004 : Footwear</t>
  </si>
  <si>
    <t>51004 : Personal care products</t>
  </si>
  <si>
    <t>51004 : Signage &amp; accssrs</t>
  </si>
  <si>
    <t>52805 : Restaurants &amp; catering</t>
  </si>
  <si>
    <t>52805 : 9000000000</t>
  </si>
  <si>
    <t>51004 : Domestic wall treatments</t>
  </si>
  <si>
    <t>51004 : Luggage &amp; accssrs</t>
  </si>
  <si>
    <t>51004 : Sewing supplies &amp; accssrs</t>
  </si>
  <si>
    <t>51004 : Jewelry</t>
  </si>
  <si>
    <t>51004 : 5400000000</t>
  </si>
  <si>
    <t>51004 : Timepieces</t>
  </si>
  <si>
    <t>51401 : Printed media</t>
  </si>
  <si>
    <t>51401 : 5500000000</t>
  </si>
  <si>
    <t>51105 : Classroom decorations</t>
  </si>
  <si>
    <t>51105 : Arts &amp; crafts supplies</t>
  </si>
  <si>
    <t>51105 : Arts &amp; crafts supplies - Haz</t>
  </si>
  <si>
    <t>51105 : Toys &amp; games</t>
  </si>
  <si>
    <t>51105 : Teaching aids</t>
  </si>
  <si>
    <t>51105 : 6000000000</t>
  </si>
  <si>
    <t>51105 : Fisheries &amp; aquaculture</t>
  </si>
  <si>
    <t>51105 : 7000000000</t>
  </si>
  <si>
    <t>51101 : Resins rosins &amp; derived mtrl</t>
  </si>
  <si>
    <t>51006 : Dyeing &amp; tanning extract</t>
  </si>
  <si>
    <t>51101 : Mortuary supplies</t>
  </si>
  <si>
    <t>51101 : Respiratory products</t>
  </si>
  <si>
    <t>51101 : Surgical products</t>
  </si>
  <si>
    <t>51101 : Med training supplies</t>
  </si>
  <si>
    <t>51101 : Wound care products</t>
  </si>
  <si>
    <t>51101 : Orthopedic surgical implants</t>
  </si>
  <si>
    <t>51006 : Floor coverings</t>
  </si>
  <si>
    <t>51006 : 5200000000</t>
  </si>
  <si>
    <t>51004 : Bed and kitchen linens</t>
  </si>
  <si>
    <t>51004 : Kitchen supplies</t>
  </si>
  <si>
    <t>51401 : Text Books</t>
  </si>
  <si>
    <t>51401 : 5510150000</t>
  </si>
  <si>
    <t>51105 : P-CARD Classroom Supplies</t>
  </si>
  <si>
    <t>51401 : P-CARD Books</t>
  </si>
  <si>
    <t>51001 : TRAVEL CARD Office supplies</t>
  </si>
  <si>
    <t>51003 : P-CARD Technology/Electronics</t>
  </si>
  <si>
    <t>51004 : Machined raw stock</t>
  </si>
  <si>
    <t>51101 : indstrl optics</t>
  </si>
  <si>
    <t>51101 : Housings &amp; cabinets &amp; casings</t>
  </si>
  <si>
    <t>51004 : Stampings &amp; sheet parts - Haz</t>
  </si>
  <si>
    <t>51004 : Machined forgings - Haz</t>
  </si>
  <si>
    <t>51006 : Fabricated pipe asmblis</t>
  </si>
  <si>
    <t>51006 : Fabricated bar stock asmblis</t>
  </si>
  <si>
    <t>51006 : Fabricated tube asmblis</t>
  </si>
  <si>
    <t>51006 : Dyeing &amp; tanning extract - Haz</t>
  </si>
  <si>
    <t>51101 : Pneumatic, hydraulic ctrl syst</t>
  </si>
  <si>
    <t>51004 : Machine made parts</t>
  </si>
  <si>
    <t>51004 : Machine made parts - Haz</t>
  </si>
  <si>
    <t>51004 : Stampings &amp; sheet parts</t>
  </si>
  <si>
    <t>51004 : Machined extrusions</t>
  </si>
  <si>
    <t>51004 : Machined extrusions - Haz</t>
  </si>
  <si>
    <t>51004 : Machined forgings</t>
  </si>
  <si>
    <t>51006 : Fabricated structural asmblis</t>
  </si>
  <si>
    <t>51006 : Fabricated sheet asmblis</t>
  </si>
  <si>
    <t>51006 : Fabricated plate asmblis</t>
  </si>
  <si>
    <t>51006 : Refractories</t>
  </si>
  <si>
    <t>51006 : Magnets &amp; magnetic mtrls</t>
  </si>
  <si>
    <t>51004 : Packaging mtrls - Haz</t>
  </si>
  <si>
    <t>51001 : All Items</t>
  </si>
  <si>
    <t>51105 : Fibers threads yarns - Grn</t>
  </si>
  <si>
    <t>51006 : Paint, primer, finishes</t>
  </si>
  <si>
    <t>51101 : Resins rosins &amp; derived - Haz</t>
  </si>
  <si>
    <t>51006 : Paint, primer, finishes - Haz</t>
  </si>
  <si>
    <t>51004 : 9900000000</t>
  </si>
  <si>
    <t>51004 : 9999000000</t>
  </si>
  <si>
    <t>51004 : P-CARD Supplies B&amp;G</t>
  </si>
  <si>
    <t>51001 : P-CARD Office Supplies</t>
  </si>
  <si>
    <t>52253 : Hotels &amp; lodging</t>
  </si>
  <si>
    <t>52002 : Passenger transport</t>
  </si>
  <si>
    <t>52352 : Travel facilitation</t>
  </si>
  <si>
    <t>52204 : TRAVEL CARD O of T Ground Tran</t>
  </si>
  <si>
    <t>52252 : TRAVEL CARD Auto Rep non PSC</t>
  </si>
  <si>
    <t>52201 : TRAVEL CARD Out of town Airfar</t>
  </si>
  <si>
    <t>52254 : TRAVEL CARD Ground tra non PSC</t>
  </si>
  <si>
    <t>52352 : P-CARD Conference Registration</t>
  </si>
  <si>
    <t>52253 : TRAVEL CARD Lodging non PSC</t>
  </si>
  <si>
    <t>52201 : 8800000000</t>
  </si>
  <si>
    <t>52201 : 8888000000</t>
  </si>
  <si>
    <t>52202 : TRAVEL CARD Out of town Auto R</t>
  </si>
  <si>
    <t>52203 : TRAVEL CARD Out of Town Lodgin</t>
  </si>
  <si>
    <t>52352 : TRAVEL CARD Conference Registr</t>
  </si>
  <si>
    <t>52251 : TRAVEL CARD Airfare non PSC</t>
  </si>
  <si>
    <t>53109 : Fertilizers &amp; herbicides - Haz</t>
  </si>
  <si>
    <t>53109 : Fertilizer nutrients herbicide</t>
  </si>
  <si>
    <t>53109 : Seeds bulbs seedlings cuttings</t>
  </si>
  <si>
    <t>53109 : Floriculture silviculture prod</t>
  </si>
  <si>
    <t>53109 : Fertilizers &amp; herbicides - Grn</t>
  </si>
  <si>
    <t>53109 : Earth &amp; stone</t>
  </si>
  <si>
    <t>53109 : Non edible plant frstry prod</t>
  </si>
  <si>
    <t>53051 : Fuels</t>
  </si>
  <si>
    <t>53051 : 1500000000</t>
  </si>
  <si>
    <t>52804 : Security &amp; personal safety</t>
  </si>
  <si>
    <t>53109 : Roads &amp; lndscp</t>
  </si>
  <si>
    <t>55001 : Permanent structures</t>
  </si>
  <si>
    <t>55001 : Portable Structures</t>
  </si>
  <si>
    <t>55001 : Portable Structure bldg parts</t>
  </si>
  <si>
    <t>55001 : Underground mining mtrls</t>
  </si>
  <si>
    <t>55001 : Underground mining mtrls - Haz</t>
  </si>
  <si>
    <t>52651 : Legal svcs</t>
  </si>
  <si>
    <t>52651 : 8000000000</t>
  </si>
  <si>
    <t>53202 : Telecommunications media svcs</t>
  </si>
  <si>
    <t>51203 : Reprodn svcs</t>
  </si>
  <si>
    <t>51203 : Photographic svcs</t>
  </si>
  <si>
    <t>52816 : Information svcs</t>
  </si>
  <si>
    <t>52801 : Devlpmt finance</t>
  </si>
  <si>
    <t>52801 : 8400000000</t>
  </si>
  <si>
    <t>52801 : Accounting &amp; auditing</t>
  </si>
  <si>
    <t>52816 : Banking &amp; investment</t>
  </si>
  <si>
    <t>52811 : Disease prevention &amp; ctrl</t>
  </si>
  <si>
    <t>52811 : Med practice</t>
  </si>
  <si>
    <t>52702 : Vocational training</t>
  </si>
  <si>
    <t>52702 : 8600000000</t>
  </si>
  <si>
    <t>52702 : Alternative educational syst</t>
  </si>
  <si>
    <t>52703 : Educational institutions</t>
  </si>
  <si>
    <t>52703 : Specialized educational svcs</t>
  </si>
  <si>
    <t>52816 : Mining svcs - Grn</t>
  </si>
  <si>
    <t>52816 : Well drilling svcs - Haz</t>
  </si>
  <si>
    <t>52816 : Oil &amp; gas restoration - Grn</t>
  </si>
  <si>
    <t>52816 : Oil &amp; gas data mgmt svcs</t>
  </si>
  <si>
    <t>52815 : 7600000000</t>
  </si>
  <si>
    <t>52815 : Decontamination svcs - Haz</t>
  </si>
  <si>
    <t>52815 : Decontamination svcs - Grn</t>
  </si>
  <si>
    <t>52807 : Clng &amp; janitorial svcs</t>
  </si>
  <si>
    <t>53113 : Waste disposl &amp; treatmnt</t>
  </si>
  <si>
    <t>53113 : Waste disposl &amp; treatmnt - Haz</t>
  </si>
  <si>
    <t>52810 : Environmental mgmt</t>
  </si>
  <si>
    <t>52810 : 7700000000</t>
  </si>
  <si>
    <t>52810 : Environmental mgmt - Haz</t>
  </si>
  <si>
    <t>52810 : Environmental mgmt - Grn</t>
  </si>
  <si>
    <t>52810 : Environmental protection</t>
  </si>
  <si>
    <t>52810 : Environmental protection - Haz</t>
  </si>
  <si>
    <t>52810 : Environmental protection - Grn</t>
  </si>
  <si>
    <t>52810 : Pollution monitoring</t>
  </si>
  <si>
    <t>52810 : Pollution monitoring - Haz</t>
  </si>
  <si>
    <t>52810 : Pollution monitoring - Grn</t>
  </si>
  <si>
    <t>52810 : Pollutant rehabilitation</t>
  </si>
  <si>
    <t>53154 : Trnsprtn repair or mntnc svcs</t>
  </si>
  <si>
    <t>52816 : Comprehensive health svcs</t>
  </si>
  <si>
    <t>52816 : 8500000000</t>
  </si>
  <si>
    <t>52811 : Med research</t>
  </si>
  <si>
    <t>52811 : Holistic medicine</t>
  </si>
  <si>
    <t>52810 : Food &amp; nutrition svcs</t>
  </si>
  <si>
    <t>52703 : Educational facilities</t>
  </si>
  <si>
    <t>52816 : Oil &amp; gas data mgmt svcs - Haz</t>
  </si>
  <si>
    <t>52816 : Oil &amp; gas data mgmt svcs - Grn</t>
  </si>
  <si>
    <t>52810 : Oil &amp; gas well project mgmt</t>
  </si>
  <si>
    <t>55002 : bldg mntnc &amp; repair svcs</t>
  </si>
  <si>
    <t>55002 : 7200000000</t>
  </si>
  <si>
    <t>55001 : General bldg construction</t>
  </si>
  <si>
    <t>52807 : Clng &amp; janitorial svcs - Haz</t>
  </si>
  <si>
    <t>53112 : Toxic waste cleanup - Haz</t>
  </si>
  <si>
    <t>53112 : 7613000000</t>
  </si>
  <si>
    <t>52810 : Pollutant rehabilitation - Haz</t>
  </si>
  <si>
    <t>52810 : Pollutant rehabilitation - Grn</t>
  </si>
  <si>
    <t>51305 : Mail &amp; cargo transport</t>
  </si>
  <si>
    <t>51305 : 7800000000</t>
  </si>
  <si>
    <t>51305 : Material packing &amp; h&amp;ling</t>
  </si>
  <si>
    <t>54004 : Storage</t>
  </si>
  <si>
    <t>51305 : Transport operations</t>
  </si>
  <si>
    <t>52810 : Mgmt advisory svcs</t>
  </si>
  <si>
    <t>52810 : Human resources svcs</t>
  </si>
  <si>
    <t>52816 : Personal appearance</t>
  </si>
  <si>
    <t>52816 : 9100000000</t>
  </si>
  <si>
    <t>52807 : Domestic &amp; personal assistance</t>
  </si>
  <si>
    <t>52814 : Public order &amp; safety</t>
  </si>
  <si>
    <t>52816 : Livestock svcs</t>
  </si>
  <si>
    <t>52816 : Crop prodn &amp; mgmt &amp; protection</t>
  </si>
  <si>
    <t>52816 : Water resources devlpmt</t>
  </si>
  <si>
    <t>52816 : Water resources devlpmt - Grn</t>
  </si>
  <si>
    <t>52814 : 9200000000</t>
  </si>
  <si>
    <t>52816 : Military svcs</t>
  </si>
  <si>
    <t>52816 : Socio political conditions</t>
  </si>
  <si>
    <t>52816 : International relations</t>
  </si>
  <si>
    <t>53109 : Horticulture</t>
  </si>
  <si>
    <t>52816 : Livestock svcs - Haz</t>
  </si>
  <si>
    <t>52816 : Water resource devlpmt - Haz</t>
  </si>
  <si>
    <t>52816 : Mining svcs</t>
  </si>
  <si>
    <t>52816 : 7100000000</t>
  </si>
  <si>
    <t>52816 : Mining svcs - Haz</t>
  </si>
  <si>
    <t>53251 : Real estate svcs</t>
  </si>
  <si>
    <t>52752 : Marketing &amp; distribution</t>
  </si>
  <si>
    <t>52752 : Trade policy &amp; svcs</t>
  </si>
  <si>
    <t>52819 : Business admin svcs</t>
  </si>
  <si>
    <t>52802 : Statistics</t>
  </si>
  <si>
    <t>52816 : Mfg technologies</t>
  </si>
  <si>
    <t>53204 : IT Service Delivery</t>
  </si>
  <si>
    <t>52752 : Advertising</t>
  </si>
  <si>
    <t>52752 : 8200000000</t>
  </si>
  <si>
    <t>52816 : Writing &amp; translations</t>
  </si>
  <si>
    <t>53056 : 8300000000</t>
  </si>
  <si>
    <t>52816 : Precision instruments svcs</t>
  </si>
  <si>
    <t>52816 : Machining &amp; processing svcs</t>
  </si>
  <si>
    <t>52815 : Decontamination svcs</t>
  </si>
  <si>
    <t>52810 : Political syst &amp; institutions</t>
  </si>
  <si>
    <t>52810 : 9300000000</t>
  </si>
  <si>
    <t>52816 : Humanitarian aid &amp; relief</t>
  </si>
  <si>
    <t>52816 : Community &amp; social svcs</t>
  </si>
  <si>
    <t>52816 : Public admin &amp; finance svcs</t>
  </si>
  <si>
    <t>52816 : Trade policy &amp; regulation</t>
  </si>
  <si>
    <t>52551 : Work related orgs</t>
  </si>
  <si>
    <t>52551 : 9400000000</t>
  </si>
  <si>
    <t>52576 : Religious orgs</t>
  </si>
  <si>
    <t>52576 : Clubs</t>
  </si>
  <si>
    <t>52816 : Civic orgs &amp; assoc &amp; movements</t>
  </si>
  <si>
    <t>52816 : Oil &amp; gas exploration</t>
  </si>
  <si>
    <t>52816 : Oil &amp; gas exploration - Haz</t>
  </si>
  <si>
    <t>52816 : Oil &amp; gas exploration- Grn</t>
  </si>
  <si>
    <t>52816 : Well drilling svcs</t>
  </si>
  <si>
    <t>52816 : Well drilling svcs - Grn</t>
  </si>
  <si>
    <t>52816 : Oil &amp; gas extraction</t>
  </si>
  <si>
    <t>52816 : Oil &amp; gas extraction - Haz</t>
  </si>
  <si>
    <t>52816 : Oil &amp; gas extraction - Grn</t>
  </si>
  <si>
    <t>52816 : Oil &amp; gas restoration</t>
  </si>
  <si>
    <t>52816 : Oil &amp; gas restoration - Haz</t>
  </si>
  <si>
    <t>52816 : Plastic &amp; chemical svcs</t>
  </si>
  <si>
    <t>52816 : 7300000000</t>
  </si>
  <si>
    <t>52816 : Plastic &amp; chemical svcs - Haz</t>
  </si>
  <si>
    <t>52816 : Wood &amp; paper industries</t>
  </si>
  <si>
    <t>52816 : Metal &amp; mineral svcs</t>
  </si>
  <si>
    <t>52816 : Metal &amp; mineral svcs - Haz</t>
  </si>
  <si>
    <t>52816 : Food &amp; beverage industries</t>
  </si>
  <si>
    <t>52816 : Fabric &amp; textiles industries</t>
  </si>
  <si>
    <t>51203 : Printing svcs</t>
  </si>
  <si>
    <t>51203 : Printing svcs - Grn</t>
  </si>
  <si>
    <t>52816 : Machinary manufacture</t>
  </si>
  <si>
    <t>52816 : Machinary manufacture - Haz</t>
  </si>
  <si>
    <t>52808 : Professional engineering svcs</t>
  </si>
  <si>
    <t>52808 : 8100000000</t>
  </si>
  <si>
    <t>52812 : Computer svcs</t>
  </si>
  <si>
    <t>52801 : Economics</t>
  </si>
  <si>
    <t>52803 : Earth science svcs</t>
  </si>
  <si>
    <t>53154 : P-CARD Vehicle Expenses</t>
  </si>
  <si>
    <t>53104 : Building Maintenance</t>
  </si>
  <si>
    <t>52819 : Temp Clerical/ Admin Services</t>
  </si>
  <si>
    <t>52819 : 8011160000</t>
  </si>
  <si>
    <t>52808 : Intracity Payments</t>
  </si>
  <si>
    <t>52808 : 900</t>
  </si>
  <si>
    <t>52651 : Legal Services</t>
  </si>
  <si>
    <t>51201 : TRAVEL CARD Copying/Repro serv</t>
  </si>
  <si>
    <t>51301 : Postage</t>
  </si>
  <si>
    <t>51203 : Graphic design</t>
  </si>
  <si>
    <t>52609 : Insurance &amp; retirement svcs</t>
  </si>
  <si>
    <t>55007 : Software License &amp; Support</t>
  </si>
  <si>
    <t>55007 : 8111180000</t>
  </si>
  <si>
    <t>52814 : Security Guard Services</t>
  </si>
  <si>
    <t>52814 : 9212150000</t>
  </si>
  <si>
    <t>52807 : Cleaning Services</t>
  </si>
  <si>
    <t>52807 : 7611150000</t>
  </si>
  <si>
    <t>51301 : 4412150000</t>
  </si>
  <si>
    <t>51402 : Subscriptions</t>
  </si>
  <si>
    <t>53101 : Elevator Maintenance</t>
  </si>
  <si>
    <t>53103 : Fire Protection Maintenance</t>
  </si>
  <si>
    <t>53104 : Facilities Maintenance/Repair</t>
  </si>
  <si>
    <t>52810 : City Council Payments</t>
  </si>
  <si>
    <t>52810 : 1000</t>
  </si>
  <si>
    <t>54151 : Payments to Students(stipends)</t>
  </si>
  <si>
    <t>54151 : 2000</t>
  </si>
  <si>
    <t>51402 : P-CARD Subscriptions</t>
  </si>
  <si>
    <t>52551 : P-CARD Memberships</t>
  </si>
  <si>
    <t>53203 : P-CARD Phone &amp; Data Charges</t>
  </si>
  <si>
    <t>54001 : Office Equipment Maintenance</t>
  </si>
  <si>
    <t>54001 : 7215000000</t>
  </si>
  <si>
    <t>54001 : 7215400000</t>
  </si>
  <si>
    <t>53102 : Exterminating</t>
  </si>
  <si>
    <t>53102 : 7210210000</t>
  </si>
  <si>
    <t>53105 : HVAC Maintenance</t>
  </si>
  <si>
    <t>53204 : Telecom Maintenance</t>
  </si>
  <si>
    <t>53204 : 7210330000</t>
  </si>
  <si>
    <t>53056 : Water &amp; Sewer (Utilities)</t>
  </si>
  <si>
    <t>53902 : Commercial furniture</t>
  </si>
  <si>
    <t>53911 : Oil &amp; gas drilling equip</t>
  </si>
  <si>
    <t>53911 : Oil &amp; gas drilling equip - Haz</t>
  </si>
  <si>
    <t>53911 : Oil &amp; gas drilling mtrls</t>
  </si>
  <si>
    <t>53911 : Oil &amp; gas drilling mtrls - Haz</t>
  </si>
  <si>
    <t>53911 : Oil &amp; gas prodn equip</t>
  </si>
  <si>
    <t>53911 : Oil &amp; gas prodn equip - Haz</t>
  </si>
  <si>
    <t>53911 : Agrcltl, lndscp equip</t>
  </si>
  <si>
    <t>53911 : 2100000000</t>
  </si>
  <si>
    <t>53911 : Leather repair equip</t>
  </si>
  <si>
    <t>53911 : Leather repair equip - Haz</t>
  </si>
  <si>
    <t>53911 : indstrl equip &amp; supplies</t>
  </si>
  <si>
    <t>53911 : indstrl equip &amp; supplies - Haz</t>
  </si>
  <si>
    <t>53911 : Foundry equip</t>
  </si>
  <si>
    <t>53911 : Foundry equip - Haz</t>
  </si>
  <si>
    <t>53911 : Mixers &amp; their parts &amp; accssrs</t>
  </si>
  <si>
    <t>53911 : Mass transfer equip</t>
  </si>
  <si>
    <t>53911 : Mass transfer equip - Haz</t>
  </si>
  <si>
    <t>53911 : Metal cutting machy - Haz</t>
  </si>
  <si>
    <t>53911 : Metal forming machy</t>
  </si>
  <si>
    <t>53911 : Metal forming machy - Haz</t>
  </si>
  <si>
    <t>53911 : Rapid prototyping machy</t>
  </si>
  <si>
    <t>53911 : Rapid prototyping machy - Haz</t>
  </si>
  <si>
    <t>53911 : Welding, soldering machy</t>
  </si>
  <si>
    <t>53911 : Welding, soldering machy - Haz</t>
  </si>
  <si>
    <t>53911 : Metal treatment machy</t>
  </si>
  <si>
    <t>53911 : Metal treatment machy - Haz</t>
  </si>
  <si>
    <t>53911 : indstrl machine tools</t>
  </si>
  <si>
    <t>53911 : indstrl machine tools - Haz</t>
  </si>
  <si>
    <t>53911 : Material h&amp;ling equip</t>
  </si>
  <si>
    <t>53911 : 2400000000</t>
  </si>
  <si>
    <t>53911 : Material h&amp;ling equip - Haz</t>
  </si>
  <si>
    <t>55011 : 2500000000</t>
  </si>
  <si>
    <t>55011 : Railway &amp; tramway equip</t>
  </si>
  <si>
    <t>55011 : Aircraft</t>
  </si>
  <si>
    <t>55011 : Aircraft - Haz</t>
  </si>
  <si>
    <t>55011 : Spacecraft</t>
  </si>
  <si>
    <t>53911 : Mining machy equip</t>
  </si>
  <si>
    <t>53911 : 2000000000</t>
  </si>
  <si>
    <t>53911 : Mining equip - Haz</t>
  </si>
  <si>
    <t>53911 : Well drilling equip</t>
  </si>
  <si>
    <t>53911 : Well drilling equip - Haz</t>
  </si>
  <si>
    <t>53911 : Agrcltl, lndscp equip - Haz</t>
  </si>
  <si>
    <t>53911 : fshng, aquaculture equip</t>
  </si>
  <si>
    <t>53911 : fshng, aquaculture equip - Haz</t>
  </si>
  <si>
    <t>53911 : Heavy constrctn equip</t>
  </si>
  <si>
    <t>53911 : 2200000000</t>
  </si>
  <si>
    <t>53911 : Heavy constrctn equip - Haz</t>
  </si>
  <si>
    <t>53911 : Mtrls processing machy</t>
  </si>
  <si>
    <t>53911 : 2300000000</t>
  </si>
  <si>
    <t>53911 : Mtrls processing machy - Haz</t>
  </si>
  <si>
    <t>53911 : Petroleum machy</t>
  </si>
  <si>
    <t>53911 : Petroleum machy - Haz</t>
  </si>
  <si>
    <t>53911 : Textile &amp; fabric machy</t>
  </si>
  <si>
    <t>53911 : Textile &amp; fabric machy - Haz</t>
  </si>
  <si>
    <t>53911 : Lapidary equip</t>
  </si>
  <si>
    <t>53911 : Lapidary equip - Haz</t>
  </si>
  <si>
    <t>53911 : Electronic mfg equip</t>
  </si>
  <si>
    <t>53911 : Electronic mfg equip - Haz</t>
  </si>
  <si>
    <t>53911 : Chicken processing equip</t>
  </si>
  <si>
    <t>53911 : Chicken processing equip - Haz</t>
  </si>
  <si>
    <t>53911 : Sawmill &amp; lumber equip</t>
  </si>
  <si>
    <t>53911 : Sawmill &amp; lumber equip - Haz</t>
  </si>
  <si>
    <t>53911 : Metal cutting machy</t>
  </si>
  <si>
    <t>53907 : Med facility products</t>
  </si>
  <si>
    <t>53907 : Med diagnostic products</t>
  </si>
  <si>
    <t>53903 : 4400000000</t>
  </si>
  <si>
    <t>53903 : Printing equip</t>
  </si>
  <si>
    <t>53903 : 4500000000</t>
  </si>
  <si>
    <t>53903 : Printing equip - Haz</t>
  </si>
  <si>
    <t>53903 : Photo, film, video equip</t>
  </si>
  <si>
    <t>53906 : Light weapons &amp; ammunition</t>
  </si>
  <si>
    <t>53906 : 4600000000</t>
  </si>
  <si>
    <t>53906 : Light weapons - Haz</t>
  </si>
  <si>
    <t>53906 : Conventional war weapons</t>
  </si>
  <si>
    <t>55011 : Spacecraft - Haz</t>
  </si>
  <si>
    <t>53911 : Non motorized cycles - Grn</t>
  </si>
  <si>
    <t>53908 : Vehicle bodies &amp; trailers</t>
  </si>
  <si>
    <t>53908 : Trnsprtn svcs equip</t>
  </si>
  <si>
    <t>53908 : Aerospace syst &amp; equip - Haz</t>
  </si>
  <si>
    <t>53906 : Conventional war weapons - Haz</t>
  </si>
  <si>
    <t>53906 : Missiles</t>
  </si>
  <si>
    <t>53911 : Non motorized cycles</t>
  </si>
  <si>
    <t>53908 : Aerospace syst &amp; equip</t>
  </si>
  <si>
    <t>53911 : Atomic &amp; nuclear equip</t>
  </si>
  <si>
    <t>53911 : Hydraulic equip</t>
  </si>
  <si>
    <t>53911 : Hydraulic equip - Haz</t>
  </si>
  <si>
    <t>53911 : Pneumatic equip</t>
  </si>
  <si>
    <t>53911 : Pneumatic equip - Haz</t>
  </si>
  <si>
    <t>53911 : automtv specialty tools - Haz</t>
  </si>
  <si>
    <t>54006 : HVAC equip</t>
  </si>
  <si>
    <t>54006 : 4000000000</t>
  </si>
  <si>
    <t>54006 : HVAC equip - Grn</t>
  </si>
  <si>
    <t>53911 : 4100000000</t>
  </si>
  <si>
    <t>53906 : Missiles - Haz</t>
  </si>
  <si>
    <t>53911 : Laundry, dry clng equip</t>
  </si>
  <si>
    <t>53911 : Laundry, dry clng equip - Haz</t>
  </si>
  <si>
    <t>53911 : Institutional food svcs equip</t>
  </si>
  <si>
    <t>53911 : 4800000000</t>
  </si>
  <si>
    <t>53911 : Vending machines</t>
  </si>
  <si>
    <t>53911 : Gambling or wagering equip</t>
  </si>
  <si>
    <t>53904 : Fitness equip</t>
  </si>
  <si>
    <t>53904 : Playground &amp; spa equip supplie</t>
  </si>
  <si>
    <t>55013 : Surgical equip Repair svcs</t>
  </si>
  <si>
    <t>53906 : Law enforcement</t>
  </si>
  <si>
    <t>53906 : Law enforcement - Haz</t>
  </si>
  <si>
    <t>53911 : Gemstones</t>
  </si>
  <si>
    <t>53902 : Commercial furniture - Grn</t>
  </si>
  <si>
    <t>53902 : Merchandising furnishing</t>
  </si>
  <si>
    <t>53902 : Merchandising furnishing - Grn</t>
  </si>
  <si>
    <t>54010 : Land mgmt &amp; protection - Grn</t>
  </si>
  <si>
    <t>54010 : frstry - Grn</t>
  </si>
  <si>
    <t>53902 : Instructional furnishing - Grn</t>
  </si>
  <si>
    <t>54010 : Land mgmt &amp; protection</t>
  </si>
  <si>
    <t>54010 : Land mgmt &amp; protection - Haz</t>
  </si>
  <si>
    <t>54010 : frstry</t>
  </si>
  <si>
    <t>54010 : Wildlife &amp; flora</t>
  </si>
  <si>
    <t>54010 : Wildlife &amp; flora - Grn</t>
  </si>
  <si>
    <t>53907 : Med sterilization products</t>
  </si>
  <si>
    <t>53906 : Rockets &amp; subsyst</t>
  </si>
  <si>
    <t>53906 : Rockets &amp; subsyst - Haz</t>
  </si>
  <si>
    <t>53906 : Launchers</t>
  </si>
  <si>
    <t>53906 : Launchers - Haz</t>
  </si>
  <si>
    <t>53902 : Instructional furnishing</t>
  </si>
  <si>
    <t>53902 : Window treatments</t>
  </si>
  <si>
    <t>53905 : 4300000000</t>
  </si>
  <si>
    <t>80120 : NPS Supplies and Materials</t>
  </si>
  <si>
    <t>80121 : NPS Travel</t>
  </si>
  <si>
    <t>80122 : NPS Misc Contractual Services</t>
  </si>
  <si>
    <t>80123 : NPS Equipment Acquisitions</t>
  </si>
  <si>
    <t>Budgetary Account : Code (Driver)</t>
  </si>
  <si>
    <t>eProcurement</t>
  </si>
  <si>
    <t>Budgetary Account &amp;</t>
  </si>
  <si>
    <t>Category Code Lisiting</t>
  </si>
  <si>
    <t xml:space="preserve">Budget Account </t>
  </si>
  <si>
    <t>Expense Account</t>
  </si>
  <si>
    <t>80000 - Expense</t>
  </si>
  <si>
    <t xml:space="preserve"> </t>
  </si>
  <si>
    <t>[10000 - 49999]</t>
  </si>
  <si>
    <t>[60000 - 99999]</t>
  </si>
  <si>
    <t>[S1001 - S2051]</t>
  </si>
  <si>
    <t>80001 - Personal Service</t>
  </si>
  <si>
    <t>80003 - Personal Service - Temp</t>
  </si>
  <si>
    <t>[50102 - 50105]</t>
  </si>
  <si>
    <t>[50214] - Sabbatical Replacement</t>
  </si>
  <si>
    <t>[50221 - 50222]</t>
  </si>
  <si>
    <t>80028 - Supper Money</t>
  </si>
  <si>
    <t>[50206] - Overtime-Meals</t>
  </si>
  <si>
    <t>[50752] - Overtime Meal Allow-supper mny</t>
  </si>
  <si>
    <t>80029 - Adjunct</t>
  </si>
  <si>
    <t>[50101] - Adjunct (Inst. Temp svcs)</t>
  </si>
  <si>
    <t>80030 - Severance</t>
  </si>
  <si>
    <t>[50228] - Severance</t>
  </si>
  <si>
    <t>80031 - PS Suspense</t>
  </si>
  <si>
    <t>[56003] - PS Suspense</t>
  </si>
  <si>
    <t>80033 - Full Time Positions</t>
  </si>
  <si>
    <t>[50002 - 50004]</t>
  </si>
  <si>
    <t>80034 - FT Pedagogical Personnel</t>
  </si>
  <si>
    <t>[50001] - Instruction Full-Time</t>
  </si>
  <si>
    <t>[50212 - 50213]</t>
  </si>
  <si>
    <t>80035 - Assignment Differential</t>
  </si>
  <si>
    <t>[50210] - Assignment Differential</t>
  </si>
  <si>
    <t>[50215] - Prior Yr Assignment Diff</t>
  </si>
  <si>
    <t>80036 - Longevity Differential</t>
  </si>
  <si>
    <t>[50208] - Longevity Differential</t>
  </si>
  <si>
    <t>[50216] - Prior Yr Longevity Diff</t>
  </si>
  <si>
    <t>80037 - Shift Differential</t>
  </si>
  <si>
    <t>[50209] - Shift Differential</t>
  </si>
  <si>
    <t>[50217] - Prior Yr Shift Diff</t>
  </si>
  <si>
    <t>80038 - Salary Diff in Excess Maximum</t>
  </si>
  <si>
    <t>[50202] - Salary Diff in Excess Max</t>
  </si>
  <si>
    <t>80039 - Holiday Pay</t>
  </si>
  <si>
    <t>[50211] - Holiday Pay</t>
  </si>
  <si>
    <t>[50218] - Prior Yr Holiday</t>
  </si>
  <si>
    <t>80040 - Terminal Leave</t>
  </si>
  <si>
    <t>[50219] - Prior Yr Terminal Lv</t>
  </si>
  <si>
    <t>[50225] - Terminal Leave</t>
  </si>
  <si>
    <t>80041 - Overtime</t>
  </si>
  <si>
    <t>[50203 - 50205]</t>
  </si>
  <si>
    <t>[50207] - Overtime-Temp</t>
  </si>
  <si>
    <t>[50220] - Prior Yr Overtime</t>
  </si>
  <si>
    <t>80042 - Education License Differential</t>
  </si>
  <si>
    <t>[50229] - Education License Diff</t>
  </si>
  <si>
    <t>80043 - Backpay Prior Years</t>
  </si>
  <si>
    <t>[50224] - Back Pay - Miscellaneous</t>
  </si>
  <si>
    <t>80045 - Salary Adjustments</t>
  </si>
  <si>
    <t>[50231] - Salary Adjustment-budget</t>
  </si>
  <si>
    <t>80046 - Amount to be Scheduled-PS</t>
  </si>
  <si>
    <t>[50230] - Unallocated PS-budget</t>
  </si>
  <si>
    <t>80047 - Salary Adj Labor Reserve</t>
  </si>
  <si>
    <t>[50227] - Sal Adj-Labor Reserve</t>
  </si>
  <si>
    <t>80048 - Early Retirement Term Leave</t>
  </si>
  <si>
    <t>[50226] - Early Retirement Incentive</t>
  </si>
  <si>
    <t>80049 - Bonus Payments</t>
  </si>
  <si>
    <t>[50201] - Bonus Pay</t>
  </si>
  <si>
    <t>80050 - Non Personal Service</t>
  </si>
  <si>
    <t>80051 - Health Insurance Plan City Emp</t>
  </si>
  <si>
    <t>[50451] - Health Insurance</t>
  </si>
  <si>
    <t>80052 - Allowance for Uniforms</t>
  </si>
  <si>
    <t>[50753] - Uniform Allowance</t>
  </si>
  <si>
    <t>80053 - Social Security Contributions</t>
  </si>
  <si>
    <t>[50401] - Employer FICA Tax</t>
  </si>
  <si>
    <t>80054 - Unemployment Insurance</t>
  </si>
  <si>
    <t>[50701] - Unemployment Insurance</t>
  </si>
  <si>
    <t>80055 - Supplemental Employee Welf Ben</t>
  </si>
  <si>
    <t>[50453] - Employee Welfare</t>
  </si>
  <si>
    <t>80056 - Faculty Welfare Benefits</t>
  </si>
  <si>
    <t>[50454] - Faculty Welfare</t>
  </si>
  <si>
    <t>80057 - Employee Retirement System</t>
  </si>
  <si>
    <t>[50602] - Pension-Employee Retire System</t>
  </si>
  <si>
    <t>[50652] - Pension-Employee Retire System</t>
  </si>
  <si>
    <t>80058 - Teach Ret Sys Pens Fnd Res 2</t>
  </si>
  <si>
    <t>[50601] - Pension-Teacher Retire System</t>
  </si>
  <si>
    <t>[50651] - Pension-Teacher Retire System</t>
  </si>
  <si>
    <t>80059 - TIAA College Ret Equity Fund</t>
  </si>
  <si>
    <t>[50603] - Pension-Teachers Ins Annuity</t>
  </si>
  <si>
    <t>[50653] - Pension-Teachers Ins Annuity</t>
  </si>
  <si>
    <t>80060 - Awards Expenses Workmens Comp</t>
  </si>
  <si>
    <t>[50553] - Workers Compensation Insurance</t>
  </si>
  <si>
    <t>80061 - Supplies and Materials General</t>
  </si>
  <si>
    <t>[51001 - 51002]</t>
  </si>
  <si>
    <t>[51004 - 51006]</t>
  </si>
  <si>
    <t>[51102 - 51103]</t>
  </si>
  <si>
    <t>[51105 - 51107]</t>
  </si>
  <si>
    <t>[51202] - Copies Supplies</t>
  </si>
  <si>
    <t>[52501] - Refreshments</t>
  </si>
  <si>
    <t>[52805] - Services-Catering</t>
  </si>
  <si>
    <t>[53354] - Miscellaneous Admin Expenses</t>
  </si>
  <si>
    <t>[53403] - Fundraising Expense</t>
  </si>
  <si>
    <t>[53502] - Diplomas Caps &amp; Gowns</t>
  </si>
  <si>
    <t>[53609] - ID Card Expense</t>
  </si>
  <si>
    <t>[59101] - Other NonOperating Expense</t>
  </si>
  <si>
    <t>80062 - Automotive Supplies and Mat</t>
  </si>
  <si>
    <t>[53151] - Auto-Supplies</t>
  </si>
  <si>
    <t>80063 - Motor Vehicle Fuel</t>
  </si>
  <si>
    <t>[53152] - Auto-Fuel</t>
  </si>
  <si>
    <t>80064 - Med Surgical and Lab Supply</t>
  </si>
  <si>
    <t>[51101] - Laboratory Supplies</t>
  </si>
  <si>
    <t>80065 - Fuel Oil</t>
  </si>
  <si>
    <t>[53051] - Fuel Oil</t>
  </si>
  <si>
    <t>80066 - Postage</t>
  </si>
  <si>
    <t>[51301 - 51304]</t>
  </si>
  <si>
    <t>80067 - Data Processing Supplies</t>
  </si>
  <si>
    <t>[51003] - IT Supplies</t>
  </si>
  <si>
    <t>80068 - Equipment General</t>
  </si>
  <si>
    <t>[53904 - 53905]</t>
  </si>
  <si>
    <t>[53909] - NonCap-Telecom Equip &lt; 5K</t>
  </si>
  <si>
    <t>[53911] - NonCap-Other Equipment &lt; 5K</t>
  </si>
  <si>
    <t>[54006] - NonCap-Air Management Sys</t>
  </si>
  <si>
    <t>[54008 - 54009]</t>
  </si>
  <si>
    <t>[55015 - 55016]</t>
  </si>
  <si>
    <t>80069 - Telecommunications Equipment</t>
  </si>
  <si>
    <t>[55014] - Capital - Telecommunications</t>
  </si>
  <si>
    <t>80070 - Motor Vehicles</t>
  </si>
  <si>
    <t>[53908] - NonCap-Motor Vehicles &lt; 5K</t>
  </si>
  <si>
    <t>[55011] - Capital - Motor Vehicles</t>
  </si>
  <si>
    <t>80071 - Medical Surgical and Lab Equip</t>
  </si>
  <si>
    <t>[53907] - NonCap-Med Lab Surg Equip &lt; 5K</t>
  </si>
  <si>
    <t>[55013] - Capital - Medical Lab Equip</t>
  </si>
  <si>
    <t>80072 - Office Furniture</t>
  </si>
  <si>
    <t>[53902] - NonCap-Office Furniture &lt; 5K</t>
  </si>
  <si>
    <t>[55005] - Capital - Furnishings</t>
  </si>
  <si>
    <t>80073 - Office Equipment</t>
  </si>
  <si>
    <t>[53903] - NonCap-Office Equipment &lt; 5K</t>
  </si>
  <si>
    <t>[55004] - Capital - Office Equipment</t>
  </si>
  <si>
    <t>[55008 - 55010]</t>
  </si>
  <si>
    <t>[55017] - Capital - Other</t>
  </si>
  <si>
    <t>80074 - Security Equipment</t>
  </si>
  <si>
    <t>[53906] - NonCap-Security Equipment &lt; 5K</t>
  </si>
  <si>
    <t>[55012] - Capital - Security Equipment</t>
  </si>
  <si>
    <t>80075 - Purch Data Processing Equip</t>
  </si>
  <si>
    <t>[55006] - Capital - Hardware</t>
  </si>
  <si>
    <t>80076 - Books Other</t>
  </si>
  <si>
    <t>[51104] - Classroom Books</t>
  </si>
  <si>
    <t>[51402] - Periodicals/Subscriptions</t>
  </si>
  <si>
    <t>[53606] - Bookbinding</t>
  </si>
  <si>
    <t>80077 - Library Books</t>
  </si>
  <si>
    <t>[51401] - Books</t>
  </si>
  <si>
    <t>[53603] - Microfilm/Microfiche</t>
  </si>
  <si>
    <t>80078 - Other Serv and Charges General</t>
  </si>
  <si>
    <t>[52701] - Honorariums &amp; Lecture Fees</t>
  </si>
  <si>
    <t>[52804] - Services-Armored Car</t>
  </si>
  <si>
    <t>[52808] - Services-Construction Consult</t>
  </si>
  <si>
    <t>[52810 - 52811]</t>
  </si>
  <si>
    <t>[52817] - Service VERA</t>
  </si>
  <si>
    <t>[52819] - Services-Office</t>
  </si>
  <si>
    <t>[52862] - Administrative Expense</t>
  </si>
  <si>
    <t>[53004] - Credit Card Fees</t>
  </si>
  <si>
    <t>[53102] - Maintenance-Extermination</t>
  </si>
  <si>
    <t>[53109] - Landscaping</t>
  </si>
  <si>
    <t>[53112] - Waste Removal-Hazardous</t>
  </si>
  <si>
    <t>[53402] - Other Special Events</t>
  </si>
  <si>
    <t>[53910] - NonCap-Software &lt; 5K</t>
  </si>
  <si>
    <t>[54154] - Stipends - Other</t>
  </si>
  <si>
    <t>[54202] - Scholarship Awards</t>
  </si>
  <si>
    <t>[55007] - Capital - Software</t>
  </si>
  <si>
    <t>80079 - Telephone and Other Comm</t>
  </si>
  <si>
    <t>[52818] - Service-Interpreter</t>
  </si>
  <si>
    <t>[53201 - 53203]</t>
  </si>
  <si>
    <t>80080 - Off Svc Membership Dues Fees</t>
  </si>
  <si>
    <t>[52551] - Dues and Memberships</t>
  </si>
  <si>
    <t>[52576] - Professional Fees Memberships</t>
  </si>
  <si>
    <t>[53110 - 53111]</t>
  </si>
  <si>
    <t>80081 - Maint and Rep of Motor Vehicle</t>
  </si>
  <si>
    <t>[53153] - Auto-Maint Repair-City Emp</t>
  </si>
  <si>
    <t>80082 - Rentals of Misc Equipment</t>
  </si>
  <si>
    <t>[53253 - 53254]</t>
  </si>
  <si>
    <t>[53256] - Rentals - Other</t>
  </si>
  <si>
    <t>[53602] - Film Rental Expense</t>
  </si>
  <si>
    <t>80084 - Rentals Land Bldgs Structs</t>
  </si>
  <si>
    <t>[53251 - 53252]</t>
  </si>
  <si>
    <t>[53255] - Rentals - Athletic Fields</t>
  </si>
  <si>
    <t>80085 - Advertising</t>
  </si>
  <si>
    <t>[52752] - Services - Advertising Pub Rel</t>
  </si>
  <si>
    <t>80086 - Heat Light and Power</t>
  </si>
  <si>
    <t>[53052 - 53055]</t>
  </si>
  <si>
    <t>80087 - NonOvernight Trvl Exp Special</t>
  </si>
  <si>
    <t>[52002] - Local Travel-PSC Grnd Trans</t>
  </si>
  <si>
    <t>[52052] - Local Travel-NonPSC Grnd Trans</t>
  </si>
  <si>
    <t>[52102 - 52103]</t>
  </si>
  <si>
    <t>80088 - Overnight Trvl Exp Special</t>
  </si>
  <si>
    <t>[50754] - Moving Expense</t>
  </si>
  <si>
    <t>[52201] - Out of Town-PSC Airfare</t>
  </si>
  <si>
    <t>[52251] - Out of Town-NonPSC Airfare</t>
  </si>
  <si>
    <t>[52301] - Out of Town-BOT Airfare</t>
  </si>
  <si>
    <t>[52352] - Conference Conv Seminar</t>
  </si>
  <si>
    <t>80089 - Higher Ed Student Assistance</t>
  </si>
  <si>
    <t>[52859] - Perkins - Matching</t>
  </si>
  <si>
    <t>[54101 - 54102]</t>
  </si>
  <si>
    <t>80090 - Special Services</t>
  </si>
  <si>
    <t>[52815] - Services-Special</t>
  </si>
  <si>
    <t>[53604] - Speaker Expense</t>
  </si>
  <si>
    <t>80091 - Finan Assist College Students</t>
  </si>
  <si>
    <t>[50759] - Tuition Waivers - Staff</t>
  </si>
  <si>
    <t>[54151] - Stipends</t>
  </si>
  <si>
    <t>[54153] - Stipends - Skills Immersion</t>
  </si>
  <si>
    <t>[54201] - Financial Assist College Stdnt</t>
  </si>
  <si>
    <t>[54251 - 54265]</t>
  </si>
  <si>
    <t>[54301] - Student Aid</t>
  </si>
  <si>
    <t>80092 - Other Expenditures General</t>
  </si>
  <si>
    <t>[53610] - Other Expenses</t>
  </si>
  <si>
    <t>80093 - Contractual Services General</t>
  </si>
  <si>
    <t>[52816] - Services-Other</t>
  </si>
  <si>
    <t>80094 - Telecommunications Maint</t>
  </si>
  <si>
    <t>[53204] - Telephone Maintenance</t>
  </si>
  <si>
    <t>80095 - Maint and Rep Motor Vehicle</t>
  </si>
  <si>
    <t>[53154] - Auto-Maint Repair -NonCity Emp</t>
  </si>
  <si>
    <t>80096 - Maint and Rep General</t>
  </si>
  <si>
    <t>[53101] - Maintenance-Elevator/Escalator</t>
  </si>
  <si>
    <t>[53103 - 53108]</t>
  </si>
  <si>
    <t>[53901] - NonCap-Rental &amp; Maintenance</t>
  </si>
  <si>
    <t>[54004 - 54005]</t>
  </si>
  <si>
    <t>[54007] - NonCap-HVAC Sys Maint</t>
  </si>
  <si>
    <t>[54010] - NonCap-Grounds Maintenance</t>
  </si>
  <si>
    <t>80097 - Office Equipment Maintenance</t>
  </si>
  <si>
    <t>[54001] - Maintenance-Office Equipment</t>
  </si>
  <si>
    <t>[54003] - Maint-Photocopy/Reprographic</t>
  </si>
  <si>
    <t>80098 - Data Processing Equip Maint</t>
  </si>
  <si>
    <t>[54002] - Maintenance-Computer Equip</t>
  </si>
  <si>
    <t>80099 - Printing/Copying</t>
  </si>
  <si>
    <t>[51201] - Copying Reproduction Services</t>
  </si>
  <si>
    <t>[51203] - Printing &amp; Publishing Services</t>
  </si>
  <si>
    <t>80100 - Security Services</t>
  </si>
  <si>
    <t>[52814] - Services-Security Guard/Svcs</t>
  </si>
  <si>
    <t>80101 - Temporary Services</t>
  </si>
  <si>
    <t>[52809] - Services-Temporary</t>
  </si>
  <si>
    <t>80102 - Cleaning Services</t>
  </si>
  <si>
    <t>[52807] - Services-Cleaning</t>
  </si>
  <si>
    <t>[53113] - Waste Removal</t>
  </si>
  <si>
    <t>80103 - Investment Costs</t>
  </si>
  <si>
    <t>[53003] - Investment Managers/Consultant</t>
  </si>
  <si>
    <t>[59002] - Investment Managers/Consultant</t>
  </si>
  <si>
    <t>80104 - Transportation Expenditures</t>
  </si>
  <si>
    <t>[51305] - Shipping</t>
  </si>
  <si>
    <t>[52001] - Local Travel-PSC Auto Rental</t>
  </si>
  <si>
    <t>[52003] - Local Travel-PSC Meals</t>
  </si>
  <si>
    <t>[52051] - Local Travel-NonPSC Auto Rent</t>
  </si>
  <si>
    <t>[52053] - Local Travel-Non PSC Meals</t>
  </si>
  <si>
    <t>[52101] - Local Travel-BOT Auto Rental</t>
  </si>
  <si>
    <t>[52202 - 52205]</t>
  </si>
  <si>
    <t>[52252 - 52255]</t>
  </si>
  <si>
    <t>[52302 - 52305]</t>
  </si>
  <si>
    <t>80105 - Day Care of Children</t>
  </si>
  <si>
    <t>[52806] - Services-Child Care</t>
  </si>
  <si>
    <t>80106 - Training Prgm City Employees</t>
  </si>
  <si>
    <t>[52702] - Services - Training</t>
  </si>
  <si>
    <t>[52703] - Training programs</t>
  </si>
  <si>
    <t>80107 - Maint Oper of Infrastructure</t>
  </si>
  <si>
    <t>[55001 - 55002]</t>
  </si>
  <si>
    <t>80108 - Prof Serv Accting and Auditing</t>
  </si>
  <si>
    <t>[52801 - 52802]</t>
  </si>
  <si>
    <t>80109 - Prof Serv Legal Services</t>
  </si>
  <si>
    <t>[52651] - Services - Legal fees</t>
  </si>
  <si>
    <t>80110 - Prof Serv Engineer Architect</t>
  </si>
  <si>
    <t>[52803] - Services-Architect Engineer</t>
  </si>
  <si>
    <t>80111 - Prof Serv Computer Services</t>
  </si>
  <si>
    <t>[52812] - Services-Info Technology</t>
  </si>
  <si>
    <t>80112 - Prof Serv Other</t>
  </si>
  <si>
    <t>[52751] - Recruitment Expense</t>
  </si>
  <si>
    <t>[52813] - Services-Search Services</t>
  </si>
  <si>
    <t>[53608] - Passport Services</t>
  </si>
  <si>
    <t>80113 - Fixed Charges General</t>
  </si>
  <si>
    <t>[52601 - 52609]</t>
  </si>
  <si>
    <t>80114 - Adv to STNY fr CUNY Sr Col Exp</t>
  </si>
  <si>
    <t>[50760] - CC Costs from SC (Budget Only)</t>
  </si>
  <si>
    <t>80115 - Judgmnts Claims Not Reportable</t>
  </si>
  <si>
    <t>[52653] - Legal Settlements</t>
  </si>
  <si>
    <t>[53302] - Secondary Collection Agcy Cost</t>
  </si>
  <si>
    <t>80116 - Miscellaneous Awards</t>
  </si>
  <si>
    <t>[53805] - Trophies</t>
  </si>
  <si>
    <t>[54204] - Merit Award</t>
  </si>
  <si>
    <t>80117 - Water and Sewer</t>
  </si>
  <si>
    <t>[53056] - Water and Sewer</t>
  </si>
  <si>
    <t>80118 - PMTS to Benefic DECSD Empl</t>
  </si>
  <si>
    <t>[50223] - Payments to Benefit Deceased</t>
  </si>
  <si>
    <t>80119 - CUNY Institutional Waiver Pgm</t>
  </si>
  <si>
    <t>[54266] - CUNY Institutional Waiver Pgm</t>
  </si>
  <si>
    <t>80126 - MTA Payroll Tax Impact</t>
  </si>
  <si>
    <t>[50403] - MTA Payroll Tax Impact</t>
  </si>
  <si>
    <t>80127 - Pell Waiver</t>
  </si>
  <si>
    <t>[54267] - Pell Tuition Waiver</t>
  </si>
  <si>
    <t>80200 - OTPS Suspense</t>
  </si>
  <si>
    <t>[56002] - OTPS Suspense</t>
  </si>
  <si>
    <t>80998 - Unassigned</t>
  </si>
  <si>
    <t>[50000] - GAAP Operating Expense (Conv)</t>
  </si>
  <si>
    <t>[50106] - Graduate Assistance</t>
  </si>
  <si>
    <t>[50402] - Employer Medicare Tax</t>
  </si>
  <si>
    <t>[50452] - Dental Insurance</t>
  </si>
  <si>
    <t>[50501] - Life Insurance</t>
  </si>
  <si>
    <t>[50551 - 50552]</t>
  </si>
  <si>
    <t>[50604 - 50606]</t>
  </si>
  <si>
    <t>[50654] - Health Benefits-Postretirement</t>
  </si>
  <si>
    <t>[50655] - Welfare Benefits-Postretiremen</t>
  </si>
  <si>
    <t>[50702] - COBRA Benefits</t>
  </si>
  <si>
    <t>[50751] - Transit Checks</t>
  </si>
  <si>
    <t>[50755 - 50758]</t>
  </si>
  <si>
    <t>[50761] - Other Fringe Benefits</t>
  </si>
  <si>
    <t>[50762] - Special Department Charges</t>
  </si>
  <si>
    <t>[51403] - Electronic Reference Sources</t>
  </si>
  <si>
    <t>[52351] - Entertainment</t>
  </si>
  <si>
    <t>[52502 - 52503]</t>
  </si>
  <si>
    <t>[52610 - 52612]</t>
  </si>
  <si>
    <t>[52652] - Patent and Copyright Fees</t>
  </si>
  <si>
    <t>[52753] - Promotions Expense</t>
  </si>
  <si>
    <t>[52851 - 52858]</t>
  </si>
  <si>
    <t>[52860 - 52861]</t>
  </si>
  <si>
    <t>[52863] - Contingency Cost</t>
  </si>
  <si>
    <t>[52901 - 52941]</t>
  </si>
  <si>
    <t>[53001 - 53002]</t>
  </si>
  <si>
    <t>[53057] - Funds Returned To DOB</t>
  </si>
  <si>
    <t>[53301] - Primary Collection Agcy Costs</t>
  </si>
  <si>
    <t>[53303 - 53305]</t>
  </si>
  <si>
    <t>[53351 - 53353]</t>
  </si>
  <si>
    <t>[53401] - Reunion/Alumni Events</t>
  </si>
  <si>
    <t>[53501] - Commencement Ceremonies/Balls</t>
  </si>
  <si>
    <t>[53503] - Yearbook Expense</t>
  </si>
  <si>
    <t>[53551 - 53552]</t>
  </si>
  <si>
    <t>[53601] - Artists' Models</t>
  </si>
  <si>
    <t>[53605] - Exhibition Expense</t>
  </si>
  <si>
    <t>[53607] - Principal-Graduate Rent Pledge</t>
  </si>
  <si>
    <t>[53701 - 53702]</t>
  </si>
  <si>
    <t>[53801 - 53804]</t>
  </si>
  <si>
    <t>[53806 - 53808]</t>
  </si>
  <si>
    <t>[54203] - Fellowship Awards</t>
  </si>
  <si>
    <t>[54351] - Bad Debt Expense</t>
  </si>
  <si>
    <t>[54401] - Amortization Expense</t>
  </si>
  <si>
    <t>[54451] - Depreciation Expense</t>
  </si>
  <si>
    <t>[55003] - Leasehold Improvement</t>
  </si>
  <si>
    <t>[55101 - 55103]</t>
  </si>
  <si>
    <t>[56001] - Suspense American Express</t>
  </si>
  <si>
    <t>[59001] - Interest Expense</t>
  </si>
  <si>
    <t>[59003] - Loss on Disposal-Capital Asset</t>
  </si>
  <si>
    <t>Budget Overview Lookup-Senior</t>
  </si>
  <si>
    <t xml:space="preserve"> 62</t>
  </si>
  <si>
    <t>Budget Period</t>
  </si>
  <si>
    <t>Business Unit</t>
  </si>
  <si>
    <t>Account</t>
  </si>
  <si>
    <t>Valid OTPS Account From</t>
  </si>
  <si>
    <t>OTPS Account Description</t>
  </si>
  <si>
    <t>Valid OTPS Account To</t>
  </si>
  <si>
    <t>Department</t>
  </si>
  <si>
    <t>Fund Code</t>
  </si>
  <si>
    <t>Major Purpose</t>
  </si>
  <si>
    <t>Operating Unit</t>
  </si>
  <si>
    <t>Program Code</t>
  </si>
  <si>
    <t>Funding Source</t>
  </si>
  <si>
    <t>Special Initiatives</t>
  </si>
  <si>
    <t>Available Budget</t>
  </si>
  <si>
    <t>Allocated Budget</t>
  </si>
  <si>
    <t>Pre-Encumbrances</t>
  </si>
  <si>
    <t>Encumbrances</t>
  </si>
  <si>
    <t>Expenditures</t>
  </si>
  <si>
    <t>2014</t>
  </si>
  <si>
    <t>YRK01</t>
  </si>
  <si>
    <t>80120</t>
  </si>
  <si>
    <t>51202</t>
  </si>
  <si>
    <t>Copies Supplies</t>
  </si>
  <si>
    <t>80037</t>
  </si>
  <si>
    <t>10</t>
  </si>
  <si>
    <t>355</t>
  </si>
  <si>
    <t>9999</t>
  </si>
  <si>
    <t>99999</t>
  </si>
  <si>
    <t>999999</t>
  </si>
  <si>
    <t>51401</t>
  </si>
  <si>
    <t>Books</t>
  </si>
  <si>
    <t>52501</t>
  </si>
  <si>
    <t>Refreshments</t>
  </si>
  <si>
    <t>52805</t>
  </si>
  <si>
    <t>Services-Catering</t>
  </si>
  <si>
    <t>53052</t>
  </si>
  <si>
    <t>Fuel Oil Reserve</t>
  </si>
  <si>
    <t>53107</t>
  </si>
  <si>
    <t>Maintenance-Painting Wallpaper</t>
  </si>
  <si>
    <t>53108</t>
  </si>
  <si>
    <t>Maintenance-Security System</t>
  </si>
  <si>
    <t>53151</t>
  </si>
  <si>
    <t>Auto-Supplies</t>
  </si>
  <si>
    <t>53152</t>
  </si>
  <si>
    <t>Auto-Fuel</t>
  </si>
  <si>
    <t>53403</t>
  </si>
  <si>
    <t>Fundraising Expense</t>
  </si>
  <si>
    <t>53502</t>
  </si>
  <si>
    <t>Diplomas Caps &amp; Gowns</t>
  </si>
  <si>
    <t>53551</t>
  </si>
  <si>
    <t>Music Performances</t>
  </si>
  <si>
    <t>53552</t>
  </si>
  <si>
    <t>Music Licensing</t>
  </si>
  <si>
    <t>53606</t>
  </si>
  <si>
    <t>Bookbinding</t>
  </si>
  <si>
    <t>53609</t>
  </si>
  <si>
    <t>ID Card Expense</t>
  </si>
  <si>
    <t>53805</t>
  </si>
  <si>
    <t>Trophies</t>
  </si>
  <si>
    <t>59101</t>
  </si>
  <si>
    <t>Other NonOperating Expense</t>
  </si>
  <si>
    <t>80122</t>
  </si>
  <si>
    <t>50760</t>
  </si>
  <si>
    <t>CC Costs from SC (Budget Only)</t>
  </si>
  <si>
    <t>51201</t>
  </si>
  <si>
    <t>Copying Reproduction Services</t>
  </si>
  <si>
    <t>51203</t>
  </si>
  <si>
    <t>Printing &amp; Publishing Services</t>
  </si>
  <si>
    <t>51301</t>
  </si>
  <si>
    <t>Postage</t>
  </si>
  <si>
    <t>51305</t>
  </si>
  <si>
    <t>Shipping</t>
  </si>
  <si>
    <t>51402</t>
  </si>
  <si>
    <t>Periodicals/Subscriptions</t>
  </si>
  <si>
    <t>52551</t>
  </si>
  <si>
    <t>Dues and Memberships</t>
  </si>
  <si>
    <t>52576</t>
  </si>
  <si>
    <t>Professional Fees Memberships</t>
  </si>
  <si>
    <t>52601</t>
  </si>
  <si>
    <t>Insurance-Athletic</t>
  </si>
  <si>
    <t>52602</t>
  </si>
  <si>
    <t>Insurance-Auto</t>
  </si>
  <si>
    <t>52603</t>
  </si>
  <si>
    <t>Insurance-Bonding</t>
  </si>
  <si>
    <t>52609</t>
  </si>
  <si>
    <t>Insurance-Other</t>
  </si>
  <si>
    <t>52651</t>
  </si>
  <si>
    <t>Services - Legal fees</t>
  </si>
  <si>
    <t>52702</t>
  </si>
  <si>
    <t>Services - Training</t>
  </si>
  <si>
    <t>52703</t>
  </si>
  <si>
    <t>Training programs</t>
  </si>
  <si>
    <t>52751</t>
  </si>
  <si>
    <t>Recruitment Expense</t>
  </si>
  <si>
    <t>52753</t>
  </si>
  <si>
    <t>Promotions Expense</t>
  </si>
  <si>
    <t>52801</t>
  </si>
  <si>
    <t>Services-Accounting/Auditing</t>
  </si>
  <si>
    <t>52804</t>
  </si>
  <si>
    <t>Services-Armored Car</t>
  </si>
  <si>
    <t>52806</t>
  </si>
  <si>
    <t>Services-Child Care</t>
  </si>
  <si>
    <t>52819</t>
  </si>
  <si>
    <t>Services-Office</t>
  </si>
  <si>
    <t>52859</t>
  </si>
  <si>
    <t>Perkins - Matching</t>
  </si>
  <si>
    <t>52862</t>
  </si>
  <si>
    <t>Administrative Expense</t>
  </si>
  <si>
    <t>53002</t>
  </si>
  <si>
    <t>Late Fees</t>
  </si>
  <si>
    <t>53004</t>
  </si>
  <si>
    <t>Credit Card Fees</t>
  </si>
  <si>
    <t>53051</t>
  </si>
  <si>
    <t>Fuel Oil</t>
  </si>
  <si>
    <t>53053</t>
  </si>
  <si>
    <t>Heat Light Power</t>
  </si>
  <si>
    <t>53056</t>
  </si>
  <si>
    <t>Water and Sewer</t>
  </si>
  <si>
    <t>53101</t>
  </si>
  <si>
    <t>Maintenance-Elevator/Escalator</t>
  </si>
  <si>
    <t>53106</t>
  </si>
  <si>
    <t>Maintenance-Parking</t>
  </si>
  <si>
    <t>53109</t>
  </si>
  <si>
    <t>Landscaping</t>
  </si>
  <si>
    <t>53111</t>
  </si>
  <si>
    <t>Lump Sum - Capital</t>
  </si>
  <si>
    <t>53112</t>
  </si>
  <si>
    <t>Waste Removal-Hazardous</t>
  </si>
  <si>
    <t>53113</t>
  </si>
  <si>
    <t>Waste Removal</t>
  </si>
  <si>
    <t>53153</t>
  </si>
  <si>
    <t>Auto-Maint Repair-City Emp</t>
  </si>
  <si>
    <t>53154</t>
  </si>
  <si>
    <t>Auto-Maint Repair -NonCity Emp</t>
  </si>
  <si>
    <t>53201</t>
  </si>
  <si>
    <t>Telephone - Regular</t>
  </si>
  <si>
    <t>53204</t>
  </si>
  <si>
    <t>Telephone Maintenance</t>
  </si>
  <si>
    <t>53251</t>
  </si>
  <si>
    <t>Rentals - Buildings</t>
  </si>
  <si>
    <t>53256</t>
  </si>
  <si>
    <t>Rentals - Other</t>
  </si>
  <si>
    <t>53302</t>
  </si>
  <si>
    <t>Secondary Collection Agcy Cost</t>
  </si>
  <si>
    <t>53354</t>
  </si>
  <si>
    <t>Miscellaneous Admin Expenses</t>
  </si>
  <si>
    <t>53402</t>
  </si>
  <si>
    <t>Other Special Events</t>
  </si>
  <si>
    <t>53602</t>
  </si>
  <si>
    <t>Film Rental Expense</t>
  </si>
  <si>
    <t>53604</t>
  </si>
  <si>
    <t>Speaker Expense</t>
  </si>
  <si>
    <t>53607</t>
  </si>
  <si>
    <t>Principal-Graduate Rent Pledge</t>
  </si>
  <si>
    <t>53608</t>
  </si>
  <si>
    <t>Passport Services</t>
  </si>
  <si>
    <t>53701</t>
  </si>
  <si>
    <t>TransToCommCollege-State Bud</t>
  </si>
  <si>
    <t>53702</t>
  </si>
  <si>
    <t>TransToSrCollege-College 24</t>
  </si>
  <si>
    <t>53910</t>
  </si>
  <si>
    <t>Software &lt; $5K</t>
  </si>
  <si>
    <t>54001</t>
  </si>
  <si>
    <t>Maintenance-Office Equipment</t>
  </si>
  <si>
    <t>54005</t>
  </si>
  <si>
    <t>Maintenance-Software</t>
  </si>
  <si>
    <t>54101</t>
  </si>
  <si>
    <t>College Work Study-Matching</t>
  </si>
  <si>
    <t>54102</t>
  </si>
  <si>
    <t>College Work Study-Fringe Ben</t>
  </si>
  <si>
    <t>54151</t>
  </si>
  <si>
    <t>Stipends</t>
  </si>
  <si>
    <t>54154</t>
  </si>
  <si>
    <t>Stipends - Other</t>
  </si>
  <si>
    <t>54201</t>
  </si>
  <si>
    <t>Financial Assist College Stdnt</t>
  </si>
  <si>
    <t>54301</t>
  </si>
  <si>
    <t>Student Aid</t>
  </si>
  <si>
    <t>55001</t>
  </si>
  <si>
    <t>Construction Expense= &gt;$25K</t>
  </si>
  <si>
    <t>55002</t>
  </si>
  <si>
    <t>Building Improvements=&gt;$25K</t>
  </si>
  <si>
    <t>55007</t>
  </si>
  <si>
    <t>Comp Software =&gt; $5K</t>
  </si>
  <si>
    <t>59001</t>
  </si>
  <si>
    <t>Interest Expense</t>
  </si>
  <si>
    <t>59002</t>
  </si>
  <si>
    <t>Investment Managers/Consultant</t>
  </si>
  <si>
    <t>80123</t>
  </si>
  <si>
    <t>53901</t>
  </si>
  <si>
    <t>Rental &amp; Maintenance &lt;$5K</t>
  </si>
  <si>
    <t>53902</t>
  </si>
  <si>
    <t>Office Furniture &lt; $5K</t>
  </si>
  <si>
    <t>53909</t>
  </si>
  <si>
    <t>Telecom Equip &lt; $5k</t>
  </si>
  <si>
    <t>53911</t>
  </si>
  <si>
    <t>Other equipment  &lt; $5K</t>
  </si>
  <si>
    <t>54006</t>
  </si>
  <si>
    <t>Air Mgmt Sys &lt;$25K</t>
  </si>
  <si>
    <t>54010</t>
  </si>
  <si>
    <t>Grounds Maintenance &lt;25K</t>
  </si>
  <si>
    <t>55004</t>
  </si>
  <si>
    <t>Office Equipment= &gt;$5K</t>
  </si>
  <si>
    <t>55006</t>
  </si>
  <si>
    <t>Comp Hardware =&gt;1K</t>
  </si>
  <si>
    <t>55008</t>
  </si>
  <si>
    <t>Printers= &gt; $1K</t>
  </si>
  <si>
    <t>55017</t>
  </si>
  <si>
    <t>Capitalized Other</t>
  </si>
  <si>
    <t>80299</t>
  </si>
  <si>
    <t>80121</t>
  </si>
  <si>
    <t>50754</t>
  </si>
  <si>
    <t>Moving Expense</t>
  </si>
  <si>
    <t>52352</t>
  </si>
  <si>
    <t>Conference Conv Seminar</t>
  </si>
  <si>
    <t>80174</t>
  </si>
  <si>
    <t>80264</t>
  </si>
  <si>
    <t>80274</t>
  </si>
  <si>
    <t>350</t>
  </si>
  <si>
    <t>80073</t>
  </si>
  <si>
    <t>80042</t>
  </si>
  <si>
    <t>80901</t>
  </si>
  <si>
    <t>Unallocated Budget</t>
  </si>
  <si>
    <t>50230</t>
  </si>
  <si>
    <t>Unallocated PS-budget</t>
  </si>
  <si>
    <t>50231</t>
  </si>
  <si>
    <t>Salary Adjustment-budget</t>
  </si>
  <si>
    <t>100</t>
  </si>
  <si>
    <t>80045</t>
  </si>
  <si>
    <t>80200</t>
  </si>
  <si>
    <t>OTPS Suspense</t>
  </si>
  <si>
    <t>56002</t>
  </si>
  <si>
    <t>80203</t>
  </si>
  <si>
    <t>80251</t>
  </si>
  <si>
    <t>80054</t>
  </si>
  <si>
    <t>80011</t>
  </si>
  <si>
    <t>80263</t>
  </si>
  <si>
    <t>80146-80181</t>
  </si>
  <si>
    <t>Catalog</t>
  </si>
  <si>
    <t>Category</t>
  </si>
  <si>
    <t>Description</t>
  </si>
  <si>
    <t>Find in Tree</t>
  </si>
  <si>
    <t>Non Catalog</t>
  </si>
  <si>
    <t>Category &amp; Budget Acc Stat</t>
  </si>
  <si>
    <t xml:space="preserve"> 755</t>
  </si>
  <si>
    <t>Budgetary Account</t>
  </si>
  <si>
    <t>Category Description</t>
  </si>
  <si>
    <t>Category Account</t>
  </si>
  <si>
    <t>State Object Code</t>
  </si>
  <si>
    <t>Live animals</t>
  </si>
  <si>
    <t>51101</t>
  </si>
  <si>
    <t>57011</t>
  </si>
  <si>
    <t>Domestic pet products</t>
  </si>
  <si>
    <t>Animal feed</t>
  </si>
  <si>
    <t>Animal containment &amp; habitats</t>
  </si>
  <si>
    <t>Saddlery &amp; harness goods</t>
  </si>
  <si>
    <t>Pest ctrl products</t>
  </si>
  <si>
    <t>51006</t>
  </si>
  <si>
    <t>57004</t>
  </si>
  <si>
    <t>Pest ctrl products - Haz</t>
  </si>
  <si>
    <t>Minerals &amp; ores &amp; metals</t>
  </si>
  <si>
    <t>Minerals ores metals - Haz</t>
  </si>
  <si>
    <t>Non edible animal products</t>
  </si>
  <si>
    <t>51004</t>
  </si>
  <si>
    <t>57032</t>
  </si>
  <si>
    <t>Non edible animal prods - Haz</t>
  </si>
  <si>
    <t>Non edible animal pros - Grn</t>
  </si>
  <si>
    <t>Scrap &amp; waste mtrls</t>
  </si>
  <si>
    <t>Scrap &amp; waste mtrls - Haz</t>
  </si>
  <si>
    <t>Scrap &amp; waste material - Grn</t>
  </si>
  <si>
    <t>Fibers &amp; threads &amp; yarns</t>
  </si>
  <si>
    <t>Fibers threads yarns - Haz</t>
  </si>
  <si>
    <t>Fibers threads yarns - Grn</t>
  </si>
  <si>
    <t>51105</t>
  </si>
  <si>
    <t>57009</t>
  </si>
  <si>
    <t>Fabrics &amp; leather mtrls</t>
  </si>
  <si>
    <t>Alloys</t>
  </si>
  <si>
    <t>Alloys - Haz</t>
  </si>
  <si>
    <t>Metal oxide</t>
  </si>
  <si>
    <t>Metal oxide - Haz</t>
  </si>
  <si>
    <t>Metal waste &amp; scrap</t>
  </si>
  <si>
    <t>Metal waste &amp; scrap - Haz</t>
  </si>
  <si>
    <t>Explosive mtrls - Haz</t>
  </si>
  <si>
    <t>Elements &amp; gases</t>
  </si>
  <si>
    <t>Elements &amp; gases - Haz</t>
  </si>
  <si>
    <t>Additives</t>
  </si>
  <si>
    <t>Additives - Haz</t>
  </si>
  <si>
    <t>Colorants</t>
  </si>
  <si>
    <t>Colorants - Haz</t>
  </si>
  <si>
    <t>Waxes &amp; oils</t>
  </si>
  <si>
    <t>Waxes &amp; oils - Haz</t>
  </si>
  <si>
    <t>Solvents</t>
  </si>
  <si>
    <t>Solvents - Haz</t>
  </si>
  <si>
    <t>Compounds &amp; mixtures</t>
  </si>
  <si>
    <t>Compounds &amp; mixtures - Haz</t>
  </si>
  <si>
    <t>Rubber &amp; elastomers</t>
  </si>
  <si>
    <t>Rubber &amp; elastomers - Haz</t>
  </si>
  <si>
    <t>Resins rosins &amp; derived mtrl</t>
  </si>
  <si>
    <t>Resins rosins &amp; derived - Haz</t>
  </si>
  <si>
    <t>51002</t>
  </si>
  <si>
    <t>Paper mtrls</t>
  </si>
  <si>
    <t>Paper mtrls - Grn</t>
  </si>
  <si>
    <t>Paper products</t>
  </si>
  <si>
    <t>Paper products - Grn</t>
  </si>
  <si>
    <t>indstrl use papers</t>
  </si>
  <si>
    <t>indstrl use papers - Grn</t>
  </si>
  <si>
    <t>Gaseous fuels &amp; additives</t>
  </si>
  <si>
    <t>Gaseous fuels additives - Haz</t>
  </si>
  <si>
    <t>Gaseous fuels additives - Grn</t>
  </si>
  <si>
    <t>Lubricants, oil, grease</t>
  </si>
  <si>
    <t>Lubricants, oil, grease - Haz</t>
  </si>
  <si>
    <t>Lubricants, oil, grease - Grn</t>
  </si>
  <si>
    <t>Fuel, nuclear reactors</t>
  </si>
  <si>
    <t>Fuel, nuclear reactors - Haz</t>
  </si>
  <si>
    <t>Containers &amp; storage</t>
  </si>
  <si>
    <t>Packaging mtrls</t>
  </si>
  <si>
    <t>Packaging mtrls - Haz</t>
  </si>
  <si>
    <t>Packaging mtrls - Grn</t>
  </si>
  <si>
    <t>Packing supplies</t>
  </si>
  <si>
    <t>Packing supplies - Grn</t>
  </si>
  <si>
    <t>Electrical wire &amp; cable</t>
  </si>
  <si>
    <t>Electrical wire &amp; cable - Haz</t>
  </si>
  <si>
    <t>Electrical wire &amp; cable -Grn</t>
  </si>
  <si>
    <t>Hand tools</t>
  </si>
  <si>
    <t>Structural mtrls</t>
  </si>
  <si>
    <t>Concrete &amp; cement &amp; plaster</t>
  </si>
  <si>
    <t>Concrete &amp; cement - Haz</t>
  </si>
  <si>
    <t>Concrete &amp; cement - Grn</t>
  </si>
  <si>
    <t>Structural bldg products</t>
  </si>
  <si>
    <t>Insulation</t>
  </si>
  <si>
    <t>Insulation - Haz</t>
  </si>
  <si>
    <t>Exterior finishing mtrls</t>
  </si>
  <si>
    <t>Exterior finishing mtrls - Haz</t>
  </si>
  <si>
    <t>Interior finishing mtrls</t>
  </si>
  <si>
    <t>Interior finishing mtrls - Haz</t>
  </si>
  <si>
    <t>Doors &amp; windows &amp; glass</t>
  </si>
  <si>
    <t>Plumbing fixtures</t>
  </si>
  <si>
    <t>Constrctn &amp; mntnc equip</t>
  </si>
  <si>
    <t>Prefabricated structures</t>
  </si>
  <si>
    <t>Castings</t>
  </si>
  <si>
    <t>Extrusions</t>
  </si>
  <si>
    <t>Machined castings</t>
  </si>
  <si>
    <t>Forgings</t>
  </si>
  <si>
    <t>Moldings</t>
  </si>
  <si>
    <t>Rope, chain, cable, wire, etc</t>
  </si>
  <si>
    <t>Hardware</t>
  </si>
  <si>
    <t>Bearings, bushings, gears, etc</t>
  </si>
  <si>
    <t>Gaskets &amp; seals</t>
  </si>
  <si>
    <t>Grinding &amp; polish mtrls</t>
  </si>
  <si>
    <t>Grinding &amp; polish mtrls - Haz</t>
  </si>
  <si>
    <t>Adhesives &amp; sealants</t>
  </si>
  <si>
    <t>Adhesives &amp; sealants - Haz</t>
  </si>
  <si>
    <t>Paint, primer, finishes</t>
  </si>
  <si>
    <t>Paint, primer, finishes - Haz</t>
  </si>
  <si>
    <t>Dyeing &amp; tanning extract</t>
  </si>
  <si>
    <t>Dyeing &amp; tanning extract - Haz</t>
  </si>
  <si>
    <t>Machined raw stock</t>
  </si>
  <si>
    <t>indstrl optics</t>
  </si>
  <si>
    <t>Pneumatic, hydraulic ctrl syst</t>
  </si>
  <si>
    <t>Housings &amp; cabinets &amp; casings</t>
  </si>
  <si>
    <t>Machine made parts</t>
  </si>
  <si>
    <t>Machine made parts - Haz</t>
  </si>
  <si>
    <t>Stampings &amp; sheet parts</t>
  </si>
  <si>
    <t>Stampings &amp; sheet parts - Haz</t>
  </si>
  <si>
    <t>Machined extrusions</t>
  </si>
  <si>
    <t>Machined extrusions - Haz</t>
  </si>
  <si>
    <t>Machined forgings</t>
  </si>
  <si>
    <t>Machined forgings - Haz</t>
  </si>
  <si>
    <t>Fabricated pipe asmblis</t>
  </si>
  <si>
    <t>Fabricated bar stock asmblis</t>
  </si>
  <si>
    <t>Fabricated structural asmblis</t>
  </si>
  <si>
    <t>Fabricated sheet asmblis</t>
  </si>
  <si>
    <t>Fabricated tube asmblis</t>
  </si>
  <si>
    <t>Fabricated plate asmblis</t>
  </si>
  <si>
    <t>Refractories</t>
  </si>
  <si>
    <t>Magnets &amp; magnetic mtrls</t>
  </si>
  <si>
    <t>Circuitry &amp; microasmblis</t>
  </si>
  <si>
    <t>Discrete semiconductor devices</t>
  </si>
  <si>
    <t>Passive discrete parts</t>
  </si>
  <si>
    <t>Electronic hdwr &amp; parts</t>
  </si>
  <si>
    <t>Electronic hdwr &amp; parts - Haz</t>
  </si>
  <si>
    <t>Electron tubes &amp; accssrs</t>
  </si>
  <si>
    <t>Electron tubes &amp; accssrs - Haz</t>
  </si>
  <si>
    <t>Automation ctrl devices</t>
  </si>
  <si>
    <t>Lamps, bulbs &amp; parts</t>
  </si>
  <si>
    <t>Lamps, bulbs &amp; parts - Haz</t>
  </si>
  <si>
    <t>Light Fixtures &amp; parts</t>
  </si>
  <si>
    <t>Light Fixtures &amp; parts - Haz</t>
  </si>
  <si>
    <t>Electrical equip &amp; parts</t>
  </si>
  <si>
    <t>Electrical wire mgmt supplies</t>
  </si>
  <si>
    <t>Fluid &amp; gas distribution</t>
  </si>
  <si>
    <t>Fluid &amp; gas distribution - Haz</t>
  </si>
  <si>
    <t>Pumps &amp; compressors</t>
  </si>
  <si>
    <t>Pumps &amp; compressors - Haz</t>
  </si>
  <si>
    <t>Filtering &amp; purification</t>
  </si>
  <si>
    <t>Filtering &amp; purification - Haz</t>
  </si>
  <si>
    <t>Measuring, testing instruments</t>
  </si>
  <si>
    <t>Laboratory supplies &amp; fixtures</t>
  </si>
  <si>
    <t>Veterinary equip &amp; supplies</t>
  </si>
  <si>
    <t>Med apparel &amp; textiles</t>
  </si>
  <si>
    <t>Patient treatment supplies</t>
  </si>
  <si>
    <t>Dental equip &amp; supplies</t>
  </si>
  <si>
    <t>Dialysis equip &amp; supplies</t>
  </si>
  <si>
    <t>Patient exam products</t>
  </si>
  <si>
    <t>Aids for ADA compliance</t>
  </si>
  <si>
    <t>Intravenous products</t>
  </si>
  <si>
    <t>Clinical nutrition</t>
  </si>
  <si>
    <t>Orthopedic products</t>
  </si>
  <si>
    <t>Physical Therapy products</t>
  </si>
  <si>
    <t>Mortuary supplies</t>
  </si>
  <si>
    <t>Respiratory products</t>
  </si>
  <si>
    <t>Surgical products</t>
  </si>
  <si>
    <t>Med training supplies</t>
  </si>
  <si>
    <t>Wound care products</t>
  </si>
  <si>
    <t>Orthopedic surgical implants</t>
  </si>
  <si>
    <t>Telecommunications parts</t>
  </si>
  <si>
    <t>51003</t>
  </si>
  <si>
    <t>51118</t>
  </si>
  <si>
    <t>Telecommunications parts - Grn</t>
  </si>
  <si>
    <t>Office &amp; desk accssrs</t>
  </si>
  <si>
    <t>51001</t>
  </si>
  <si>
    <t>Office &amp; desk accssrs - Grn</t>
  </si>
  <si>
    <t>4412000000</t>
  </si>
  <si>
    <t>Office supplies</t>
  </si>
  <si>
    <t>Office supplies - Grn</t>
  </si>
  <si>
    <t>Photographic &amp; recording media</t>
  </si>
  <si>
    <t>Photo, filmmaking supplies</t>
  </si>
  <si>
    <t>Photographic supplies - Haz</t>
  </si>
  <si>
    <t>Water treatment supply</t>
  </si>
  <si>
    <t>Water treatment supply - Haz</t>
  </si>
  <si>
    <t>Janitorial equip</t>
  </si>
  <si>
    <t>Janitorial supplies</t>
  </si>
  <si>
    <t>Janitorial supplies - Haz</t>
  </si>
  <si>
    <t>Janitorial supplies - Grn</t>
  </si>
  <si>
    <t>Camping accssrs</t>
  </si>
  <si>
    <t>51107</t>
  </si>
  <si>
    <t>57034</t>
  </si>
  <si>
    <t>fshng &amp; hunting equip</t>
  </si>
  <si>
    <t>fshng &amp; hunting equip - Haz</t>
  </si>
  <si>
    <t>Watersports equip</t>
  </si>
  <si>
    <t>Winter sports equip</t>
  </si>
  <si>
    <t>Field &amp; court sports equip</t>
  </si>
  <si>
    <t>Gymnastics &amp; boxing equip</t>
  </si>
  <si>
    <t>Target &amp; table games &amp; equip</t>
  </si>
  <si>
    <t>Other sports</t>
  </si>
  <si>
    <t>Sports equip &amp; accssrs</t>
  </si>
  <si>
    <t>51005</t>
  </si>
  <si>
    <t>57010</t>
  </si>
  <si>
    <t>Nuts &amp; seeds</t>
  </si>
  <si>
    <t>Nuts &amp; seeds - Grn</t>
  </si>
  <si>
    <t>Meat &amp; poultry products</t>
  </si>
  <si>
    <t>Meat &amp; poultry products - Grn</t>
  </si>
  <si>
    <t>Seafood</t>
  </si>
  <si>
    <t>Seafood - Grn</t>
  </si>
  <si>
    <t>Dairy products &amp; eggs</t>
  </si>
  <si>
    <t>Dairy products &amp; eggs - Grn</t>
  </si>
  <si>
    <t>Edible oils &amp; fats</t>
  </si>
  <si>
    <t>Edible oils &amp; fats - Grn</t>
  </si>
  <si>
    <t>Confectionary products</t>
  </si>
  <si>
    <t>Confectionary products - Grn</t>
  </si>
  <si>
    <t>Seasonings</t>
  </si>
  <si>
    <t>Seasonings - Grn</t>
  </si>
  <si>
    <t>Bread &amp; bakery products</t>
  </si>
  <si>
    <t>Bread &amp; bakery products - Grn</t>
  </si>
  <si>
    <t>Packaged foods</t>
  </si>
  <si>
    <t>Packaged foods - Grn</t>
  </si>
  <si>
    <t>Beverages</t>
  </si>
  <si>
    <t>Beverages - Grn</t>
  </si>
  <si>
    <t>Tobacco products</t>
  </si>
  <si>
    <t>Tobacco products - Grn</t>
  </si>
  <si>
    <t>Cereal &amp; pulse products</t>
  </si>
  <si>
    <t>Cereal &amp; pulse products - Grn</t>
  </si>
  <si>
    <t>Fresh fruits</t>
  </si>
  <si>
    <t>Fresh fruits - Grn</t>
  </si>
  <si>
    <t>Organic fresh fruits</t>
  </si>
  <si>
    <t>Organic fresh fruits - Grn</t>
  </si>
  <si>
    <t>Fresh vegetables</t>
  </si>
  <si>
    <t>Fresh vegetables - Grn</t>
  </si>
  <si>
    <t>Organic fresh vegetables</t>
  </si>
  <si>
    <t>Organic fresh vegetables - Grn</t>
  </si>
  <si>
    <t>Anti infective drugs</t>
  </si>
  <si>
    <t>Anti infective drugs - Haz</t>
  </si>
  <si>
    <t>Antineoplastic agents</t>
  </si>
  <si>
    <t>Antineoplastic agents - Haz</t>
  </si>
  <si>
    <t>Cardiovascular drugs</t>
  </si>
  <si>
    <t>Cardiovascular drugs - Haz</t>
  </si>
  <si>
    <t>Hematolic drugs</t>
  </si>
  <si>
    <t>Hematolic drugs - Haz</t>
  </si>
  <si>
    <t>Centrl nerve systm drugs</t>
  </si>
  <si>
    <t>Centrl nerve systm drugs - Haz</t>
  </si>
  <si>
    <t>Auto nerve systm drugs</t>
  </si>
  <si>
    <t>Auto nerve systm drugs - Haz</t>
  </si>
  <si>
    <t>Respiratory tract drugs</t>
  </si>
  <si>
    <t>Respiratory tract drugs - Haz</t>
  </si>
  <si>
    <t>Gastrointestinal drugs</t>
  </si>
  <si>
    <t>Gastrointestinal drugs - Haz</t>
  </si>
  <si>
    <t>Hormones</t>
  </si>
  <si>
    <t>Hormones - Haz</t>
  </si>
  <si>
    <t>Electrolytes agents</t>
  </si>
  <si>
    <t>Electrolytes agents - Haz</t>
  </si>
  <si>
    <t>Immunomodulating drugs</t>
  </si>
  <si>
    <t>Immunomodulating drugs - Haz</t>
  </si>
  <si>
    <t>Miscellaneous drug</t>
  </si>
  <si>
    <t>Miscellaneous drug - Haz</t>
  </si>
  <si>
    <t>Drugs for ear, eye, nose</t>
  </si>
  <si>
    <t>Drugs for ear, eye, nose - Haz</t>
  </si>
  <si>
    <t>Veterinary nutrition</t>
  </si>
  <si>
    <t>Veterinary nutrition - Haz</t>
  </si>
  <si>
    <t>Floor coverings</t>
  </si>
  <si>
    <t>Bed and kitchen linens</t>
  </si>
  <si>
    <t>Kitchen supplies</t>
  </si>
  <si>
    <t>Kitchen supplies - Grn</t>
  </si>
  <si>
    <t>Domestic wall treatments</t>
  </si>
  <si>
    <t>Clothing</t>
  </si>
  <si>
    <t>Footwear</t>
  </si>
  <si>
    <t>Luggage &amp; accssrs</t>
  </si>
  <si>
    <t>Personal care products</t>
  </si>
  <si>
    <t>Sewing supplies &amp; accssrs</t>
  </si>
  <si>
    <t>Jewelry</t>
  </si>
  <si>
    <t>Timepieces</t>
  </si>
  <si>
    <t>Signage &amp; accssrs</t>
  </si>
  <si>
    <t>Teaching aids</t>
  </si>
  <si>
    <t>Classroom decorations</t>
  </si>
  <si>
    <t>Arts &amp; crafts supplies</t>
  </si>
  <si>
    <t>Arts &amp; crafts supplies - Haz</t>
  </si>
  <si>
    <t>Toys &amp; games</t>
  </si>
  <si>
    <t>Fisheries &amp; aquaculture</t>
  </si>
  <si>
    <t>TRAVEL CARD Office supplies</t>
  </si>
  <si>
    <t>P-CARD Supplies B&amp;G</t>
  </si>
  <si>
    <t>P-CARD Classroom Supplies</t>
  </si>
  <si>
    <t>P-CARD Technology/Electronics</t>
  </si>
  <si>
    <t>P-CARD Office Supplies</t>
  </si>
  <si>
    <t>All Items</t>
  </si>
  <si>
    <t>57035</t>
  </si>
  <si>
    <t>Printed media</t>
  </si>
  <si>
    <t>Text Books</t>
  </si>
  <si>
    <t>P-CARD Books</t>
  </si>
  <si>
    <t>55120</t>
  </si>
  <si>
    <t>Restaurants &amp; catering</t>
  </si>
  <si>
    <t>Trnsprtn parts &amp; syst</t>
  </si>
  <si>
    <t>56014</t>
  </si>
  <si>
    <t>Trnsprtn parts &amp; syst - Haz</t>
  </si>
  <si>
    <t>Power sources</t>
  </si>
  <si>
    <t>Power sources - Haz</t>
  </si>
  <si>
    <t>Power sources - Grn</t>
  </si>
  <si>
    <t>Batteries &amp; generators</t>
  </si>
  <si>
    <t>Batteries &amp; generators - Haz</t>
  </si>
  <si>
    <t>Batteries &amp; generators - Grn</t>
  </si>
  <si>
    <t>Collectibles &amp; awards</t>
  </si>
  <si>
    <t>Passenger transport</t>
  </si>
  <si>
    <t>52002</t>
  </si>
  <si>
    <t>54019</t>
  </si>
  <si>
    <t>52201</t>
  </si>
  <si>
    <t>TRAVEL CARD Out of town Airfar</t>
  </si>
  <si>
    <t>TRAVEL CARD Out of town Auto R</t>
  </si>
  <si>
    <t>52202</t>
  </si>
  <si>
    <t>54020</t>
  </si>
  <si>
    <t>TRAVEL CARD Out of Town Lodgin</t>
  </si>
  <si>
    <t>52203</t>
  </si>
  <si>
    <t>54013</t>
  </si>
  <si>
    <t>TRAVEL CARD O of T Ground Tran</t>
  </si>
  <si>
    <t>52204</t>
  </si>
  <si>
    <t>TRAVEL CARD Airfare non PSC</t>
  </si>
  <si>
    <t>52251</t>
  </si>
  <si>
    <t>TRAVEL CARD Auto Rep non PSC</t>
  </si>
  <si>
    <t>52252</t>
  </si>
  <si>
    <t>TRAVEL CARD Lodging non PSC</t>
  </si>
  <si>
    <t>52253</t>
  </si>
  <si>
    <t>TRAVEL CARD Ground tra non PSC</t>
  </si>
  <si>
    <t>52254</t>
  </si>
  <si>
    <t>Hotels &amp; lodging</t>
  </si>
  <si>
    <t>TRAVEL CARD Conference Registr</t>
  </si>
  <si>
    <t>55051</t>
  </si>
  <si>
    <t>Travel facilitation</t>
  </si>
  <si>
    <t>P-CARD Conference Registration</t>
  </si>
  <si>
    <t>TRAVEL CARD Copying/Repro serv</t>
  </si>
  <si>
    <t>58002</t>
  </si>
  <si>
    <t>Printing svcs</t>
  </si>
  <si>
    <t>55030</t>
  </si>
  <si>
    <t>Printing svcs - Grn</t>
  </si>
  <si>
    <t>Reprodn svcs</t>
  </si>
  <si>
    <t>Photographic svcs</t>
  </si>
  <si>
    <t>Graphic design</t>
  </si>
  <si>
    <t>55203</t>
  </si>
  <si>
    <t>55220</t>
  </si>
  <si>
    <t>Mail &amp; cargo transport</t>
  </si>
  <si>
    <t>Material packing &amp; h&amp;ling</t>
  </si>
  <si>
    <t>Transport operations</t>
  </si>
  <si>
    <t>Subscriptions</t>
  </si>
  <si>
    <t>P-CARD Subscriptions</t>
  </si>
  <si>
    <t>52351</t>
  </si>
  <si>
    <t>8215000000</t>
  </si>
  <si>
    <t>Professional performers</t>
  </si>
  <si>
    <t>55201</t>
  </si>
  <si>
    <t>9013000000</t>
  </si>
  <si>
    <t>Performing arts</t>
  </si>
  <si>
    <t>9014000000</t>
  </si>
  <si>
    <t>Commercial sports</t>
  </si>
  <si>
    <t>9015000000</t>
  </si>
  <si>
    <t>Entertainment svcs</t>
  </si>
  <si>
    <t>58501</t>
  </si>
  <si>
    <t>Work related orgs</t>
  </si>
  <si>
    <t>P-CARD Memberships</t>
  </si>
  <si>
    <t>Religious orgs</t>
  </si>
  <si>
    <t>Clubs</t>
  </si>
  <si>
    <t>Insurance &amp; retirement svcs</t>
  </si>
  <si>
    <t>58100</t>
  </si>
  <si>
    <t>55173</t>
  </si>
  <si>
    <t>Legal Services</t>
  </si>
  <si>
    <t>Legal svcs</t>
  </si>
  <si>
    <t>55050</t>
  </si>
  <si>
    <t>Vocational training</t>
  </si>
  <si>
    <t>Alternative educational syst</t>
  </si>
  <si>
    <t>Educational institutions</t>
  </si>
  <si>
    <t>55062</t>
  </si>
  <si>
    <t>Specialized educational svcs</t>
  </si>
  <si>
    <t>Educational facilities</t>
  </si>
  <si>
    <t>Marketing &amp; distribution</t>
  </si>
  <si>
    <t>52752</t>
  </si>
  <si>
    <t>55010</t>
  </si>
  <si>
    <t>Trade policy &amp; svcs</t>
  </si>
  <si>
    <t>Advertising</t>
  </si>
  <si>
    <t>Economics</t>
  </si>
  <si>
    <t>55093</t>
  </si>
  <si>
    <t>Statistics</t>
  </si>
  <si>
    <t>52802</t>
  </si>
  <si>
    <t>55091</t>
  </si>
  <si>
    <t>Earth science svcs</t>
  </si>
  <si>
    <t>52803</t>
  </si>
  <si>
    <t>55041</t>
  </si>
  <si>
    <t>Devlpmt finance</t>
  </si>
  <si>
    <t>Accounting &amp; auditing</t>
  </si>
  <si>
    <t>Security &amp; personal safety</t>
  </si>
  <si>
    <t>55240</t>
  </si>
  <si>
    <t>Intracity Payments</t>
  </si>
  <si>
    <t>52808</t>
  </si>
  <si>
    <t>55070</t>
  </si>
  <si>
    <t>City Council Payments</t>
  </si>
  <si>
    <t>52810</t>
  </si>
  <si>
    <t>51088</t>
  </si>
  <si>
    <t>Livestock svcs</t>
  </si>
  <si>
    <t>52816</t>
  </si>
  <si>
    <t>55048</t>
  </si>
  <si>
    <t>Livestock svcs - Haz</t>
  </si>
  <si>
    <t>Crop prodn &amp; mgmt &amp; protection</t>
  </si>
  <si>
    <t>Water resources devlpmt</t>
  </si>
  <si>
    <t>Water resource devlpmt - Haz</t>
  </si>
  <si>
    <t>Water resources devlpmt - Grn</t>
  </si>
  <si>
    <t>Mining svcs</t>
  </si>
  <si>
    <t>Mining svcs - Haz</t>
  </si>
  <si>
    <t>Mining svcs - Grn</t>
  </si>
  <si>
    <t>Oil &amp; gas exploration</t>
  </si>
  <si>
    <t>Oil &amp; gas exploration - Haz</t>
  </si>
  <si>
    <t>Oil &amp; gas exploration- Grn</t>
  </si>
  <si>
    <t>Well drilling svcs</t>
  </si>
  <si>
    <t>Well drilling svcs - Haz</t>
  </si>
  <si>
    <t>Well drilling svcs - Grn</t>
  </si>
  <si>
    <t>Oil &amp; gas extraction</t>
  </si>
  <si>
    <t>Oil &amp; gas extraction - Haz</t>
  </si>
  <si>
    <t>Oil &amp; gas extraction - Grn</t>
  </si>
  <si>
    <t>Oil &amp; gas restoration</t>
  </si>
  <si>
    <t>Oil &amp; gas restoration - Haz</t>
  </si>
  <si>
    <t>Oil &amp; gas restoration - Grn</t>
  </si>
  <si>
    <t>Oil &amp; gas data mgmt svcs</t>
  </si>
  <si>
    <t>Oil &amp; gas data mgmt svcs - Haz</t>
  </si>
  <si>
    <t>Oil &amp; gas data mgmt svcs - Grn</t>
  </si>
  <si>
    <t>Oil &amp; gas well project mgmt</t>
  </si>
  <si>
    <t>Plastic &amp; chemical svcs</t>
  </si>
  <si>
    <t>Plastic &amp; chemical svcs - Haz</t>
  </si>
  <si>
    <t>Wood &amp; paper industries</t>
  </si>
  <si>
    <t>Metal &amp; mineral svcs</t>
  </si>
  <si>
    <t>Metal &amp; mineral svcs - Haz</t>
  </si>
  <si>
    <t>Food &amp; beverage industries</t>
  </si>
  <si>
    <t>Fabric &amp; textiles industries</t>
  </si>
  <si>
    <t>Machinary manufacture</t>
  </si>
  <si>
    <t>Machinary manufacture - Haz</t>
  </si>
  <si>
    <t>Precision instruments svcs</t>
  </si>
  <si>
    <t>Machining &amp; processing svcs</t>
  </si>
  <si>
    <t>52815</t>
  </si>
  <si>
    <t>Decontamination svcs</t>
  </si>
  <si>
    <t>Decontamination svcs - Haz</t>
  </si>
  <si>
    <t>Decontamination svcs - Grn</t>
  </si>
  <si>
    <t>Clng &amp; janitorial svcs</t>
  </si>
  <si>
    <t>52807</t>
  </si>
  <si>
    <t>55046</t>
  </si>
  <si>
    <t>Clng &amp; janitorial svcs - Haz</t>
  </si>
  <si>
    <t>Cleaning Services</t>
  </si>
  <si>
    <t>Environmental mgmt</t>
  </si>
  <si>
    <t>Environmental mgmt - Haz</t>
  </si>
  <si>
    <t>Environmental mgmt - Grn</t>
  </si>
  <si>
    <t>Environmental protection</t>
  </si>
  <si>
    <t>Environmental protection - Haz</t>
  </si>
  <si>
    <t>Environmental protection - Grn</t>
  </si>
  <si>
    <t>Pollution monitoring</t>
  </si>
  <si>
    <t>Pollution monitoring - Haz</t>
  </si>
  <si>
    <t>Pollution monitoring - Grn</t>
  </si>
  <si>
    <t>Pollutant rehabilitation</t>
  </si>
  <si>
    <t>Pollutant rehabilitation - Haz</t>
  </si>
  <si>
    <t>Pollutant rehabilitation - Grn</t>
  </si>
  <si>
    <t>Mgmt advisory svcs</t>
  </si>
  <si>
    <t>Human resources svcs</t>
  </si>
  <si>
    <t>56009</t>
  </si>
  <si>
    <t>Temp Clerical/ Admin Services</t>
  </si>
  <si>
    <t>Business admin svcs</t>
  </si>
  <si>
    <t>Professional engineering svcs</t>
  </si>
  <si>
    <t>Computer svcs</t>
  </si>
  <si>
    <t>52812</t>
  </si>
  <si>
    <t>51084</t>
  </si>
  <si>
    <t>Mfg technologies</t>
  </si>
  <si>
    <t>Writing &amp; translations</t>
  </si>
  <si>
    <t>Information svcs</t>
  </si>
  <si>
    <t>Banking &amp; investment</t>
  </si>
  <si>
    <t>Comprehensive health svcs</t>
  </si>
  <si>
    <t>Disease prevention &amp; ctrl</t>
  </si>
  <si>
    <t>52811</t>
  </si>
  <si>
    <t>55131</t>
  </si>
  <si>
    <t>Med practice</t>
  </si>
  <si>
    <t>Med research</t>
  </si>
  <si>
    <t>Holistic medicine</t>
  </si>
  <si>
    <t>Food &amp; nutrition svcs</t>
  </si>
  <si>
    <t>Personal appearance</t>
  </si>
  <si>
    <t>Domestic &amp; personal assistance</t>
  </si>
  <si>
    <t>52814</t>
  </si>
  <si>
    <t>55212</t>
  </si>
  <si>
    <t>Public order &amp; safety</t>
  </si>
  <si>
    <t>Military svcs</t>
  </si>
  <si>
    <t>Security Guard Services</t>
  </si>
  <si>
    <t>Political syst &amp; institutions</t>
  </si>
  <si>
    <t>Socio political conditions</t>
  </si>
  <si>
    <t>International relations</t>
  </si>
  <si>
    <t>Humanitarian aid &amp; relief</t>
  </si>
  <si>
    <t>Community &amp; social svcs</t>
  </si>
  <si>
    <t>Public admin &amp; finance svcs</t>
  </si>
  <si>
    <t>Trade policy &amp; regulation</t>
  </si>
  <si>
    <t>Civic orgs &amp; assoc &amp; movements</t>
  </si>
  <si>
    <t>52036</t>
  </si>
  <si>
    <t>Fuels</t>
  </si>
  <si>
    <t>53001</t>
  </si>
  <si>
    <t>Water &amp; Sewer (Utilities)</t>
  </si>
  <si>
    <t>Building Maintenance</t>
  </si>
  <si>
    <t>53104</t>
  </si>
  <si>
    <t>56004</t>
  </si>
  <si>
    <t>Elevator Maintenance</t>
  </si>
  <si>
    <t>Fire Protection Maintenance</t>
  </si>
  <si>
    <t>53103</t>
  </si>
  <si>
    <t>56011</t>
  </si>
  <si>
    <t>HVAC Maintenance</t>
  </si>
  <si>
    <t>53105</t>
  </si>
  <si>
    <t>55187</t>
  </si>
  <si>
    <t>53102</t>
  </si>
  <si>
    <t>55190</t>
  </si>
  <si>
    <t>Exterminating</t>
  </si>
  <si>
    <t>Facilities Maintenance/Repair</t>
  </si>
  <si>
    <t>Seeds bulbs seedlings cuttings</t>
  </si>
  <si>
    <t>Floriculture silviculture prod</t>
  </si>
  <si>
    <t>Fertilizer nutrients herbicide</t>
  </si>
  <si>
    <t>Fertilizers &amp; herbicides - Haz</t>
  </si>
  <si>
    <t>Fertilizers &amp; herbicides - Grn</t>
  </si>
  <si>
    <t>Earth &amp; stone</t>
  </si>
  <si>
    <t>Non edible plant frstry prod</t>
  </si>
  <si>
    <t>Roads &amp; lndscp</t>
  </si>
  <si>
    <t>Horticulture</t>
  </si>
  <si>
    <t>55192</t>
  </si>
  <si>
    <t>Toxic waste cleanup - Haz</t>
  </si>
  <si>
    <t>Waste disposl &amp; treatmnt</t>
  </si>
  <si>
    <t>Waste disposl &amp; treatmnt - Haz</t>
  </si>
  <si>
    <t>Trnsprtn repair or mntnc svcs</t>
  </si>
  <si>
    <t>P-CARD Vehicle Expenses</t>
  </si>
  <si>
    <t>51092</t>
  </si>
  <si>
    <t>Telecom Maintenance</t>
  </si>
  <si>
    <t>IT Service Delivery</t>
  </si>
  <si>
    <t>Telecommunications media svcs</t>
  </si>
  <si>
    <t>53202</t>
  </si>
  <si>
    <t>P-CARD Phone &amp; Data Charges</t>
  </si>
  <si>
    <t>53203</t>
  </si>
  <si>
    <t>51100</t>
  </si>
  <si>
    <t>Real estate svcs</t>
  </si>
  <si>
    <t>58201</t>
  </si>
  <si>
    <t>Software &lt;$1K</t>
  </si>
  <si>
    <t>51060</t>
  </si>
  <si>
    <t>4323000002</t>
  </si>
  <si>
    <t>Software &lt;$5K asset</t>
  </si>
  <si>
    <t>Office Equipment Maintenance</t>
  </si>
  <si>
    <t>Storage</t>
  </si>
  <si>
    <t>54004</t>
  </si>
  <si>
    <t>Payments to Students(stipends)</t>
  </si>
  <si>
    <t>58601</t>
  </si>
  <si>
    <t>Permanent structures</t>
  </si>
  <si>
    <t>Portable Structures</t>
  </si>
  <si>
    <t>Portable Structure bldg parts</t>
  </si>
  <si>
    <t>Underground mining mtrls</t>
  </si>
  <si>
    <t>Underground mining mtrls - Haz</t>
  </si>
  <si>
    <t>bldg mntnc &amp; repair svcs</t>
  </si>
  <si>
    <t>7211000000</t>
  </si>
  <si>
    <t>7211110000</t>
  </si>
  <si>
    <t>7211114000</t>
  </si>
  <si>
    <t>7211114001</t>
  </si>
  <si>
    <t>Building Improvements&gt;$25K</t>
  </si>
  <si>
    <t>7211119000</t>
  </si>
  <si>
    <t>7211119001</t>
  </si>
  <si>
    <t>Building Improvements Grn&gt;$25K</t>
  </si>
  <si>
    <t>General bldg construction</t>
  </si>
  <si>
    <t>4323000001</t>
  </si>
  <si>
    <t>Software &gt;$5K asset</t>
  </si>
  <si>
    <t>Software License &amp; Support</t>
  </si>
  <si>
    <t>Food &amp; beverage equip&lt;$5K</t>
  </si>
  <si>
    <t>53903</t>
  </si>
  <si>
    <t>Indstrl refrigeration &lt;$5K</t>
  </si>
  <si>
    <t>Motor vehicles &lt; $5K</t>
  </si>
  <si>
    <t>53908</t>
  </si>
  <si>
    <t>2510000002</t>
  </si>
  <si>
    <t>Motor vehicles &lt;$5K asset</t>
  </si>
  <si>
    <t>Motor vehicles -Grn&lt;$5K</t>
  </si>
  <si>
    <t>2510000092</t>
  </si>
  <si>
    <t>Motor vehicles -Grn&lt;$5K asset</t>
  </si>
  <si>
    <t>Marine transport&lt; $5K</t>
  </si>
  <si>
    <t>2511000002</t>
  </si>
  <si>
    <t>Marine transport &lt;$5K asset</t>
  </si>
  <si>
    <t>Vehicle bodies &amp; trailers</t>
  </si>
  <si>
    <t>Trnsprtn svcs equip</t>
  </si>
  <si>
    <t>Aerospace syst &amp; equip</t>
  </si>
  <si>
    <t>Aerospace syst &amp; equip - Haz</t>
  </si>
  <si>
    <t>Power generation &lt;$5K</t>
  </si>
  <si>
    <t>Power generation -Haz&lt;$5K</t>
  </si>
  <si>
    <t>Power generation -Grn&lt;$5K</t>
  </si>
  <si>
    <t>Auto Spec Tools &lt; $5K</t>
  </si>
  <si>
    <t>2714000002</t>
  </si>
  <si>
    <t>Auto Spec Tools &lt;$5K asset</t>
  </si>
  <si>
    <t>4110000002</t>
  </si>
  <si>
    <t>Lab &amp; scien equip &lt;$5K asset</t>
  </si>
  <si>
    <t>Medical Lab Equip &lt;$5K</t>
  </si>
  <si>
    <t>53907</t>
  </si>
  <si>
    <t>57030</t>
  </si>
  <si>
    <t>4217000002</t>
  </si>
  <si>
    <t>Medical Lab Equip &lt;$5K asset</t>
  </si>
  <si>
    <t>Med facility products</t>
  </si>
  <si>
    <t>Med diagnostic products</t>
  </si>
  <si>
    <t>Med sterilization products</t>
  </si>
  <si>
    <t>53905</t>
  </si>
  <si>
    <t>51117</t>
  </si>
  <si>
    <t>Comm Devices &lt;$5K</t>
  </si>
  <si>
    <t>4319000002</t>
  </si>
  <si>
    <t>Comm Devices &lt;$5K asset</t>
  </si>
  <si>
    <t>Computer equipment &lt;$1K</t>
  </si>
  <si>
    <t>4321000002</t>
  </si>
  <si>
    <t>Computer equipment &lt;$1K asset</t>
  </si>
  <si>
    <t>Computer Accessories&lt;$1K</t>
  </si>
  <si>
    <t>4321160002</t>
  </si>
  <si>
    <t>Computer Accessories&lt;$1K asset</t>
  </si>
  <si>
    <t>4321210000</t>
  </si>
  <si>
    <t>Computer printers &lt;$1K</t>
  </si>
  <si>
    <t>4321210002</t>
  </si>
  <si>
    <t>Computer printers &lt;$1K asset</t>
  </si>
  <si>
    <t>4321211000</t>
  </si>
  <si>
    <t>Multi function print&lt;$1K</t>
  </si>
  <si>
    <t>4321211002</t>
  </si>
  <si>
    <t>Multi function print&lt;$1K asset</t>
  </si>
  <si>
    <t>Network Commm accssrs&lt;$5K</t>
  </si>
  <si>
    <t>Office machines &lt;$5K</t>
  </si>
  <si>
    <t>Office machines Grn&lt;$5K</t>
  </si>
  <si>
    <t>Printing equip</t>
  </si>
  <si>
    <t>Printing equip - Haz</t>
  </si>
  <si>
    <t>Audio visual equip&lt;$5K</t>
  </si>
  <si>
    <t>4511000002</t>
  </si>
  <si>
    <t>Audio visual equip&lt;$5K asset</t>
  </si>
  <si>
    <t>Photo, film, video equip</t>
  </si>
  <si>
    <t>53906</t>
  </si>
  <si>
    <t>57037</t>
  </si>
  <si>
    <t>Light weapons &amp; ammunition</t>
  </si>
  <si>
    <t>Light weapons - Haz</t>
  </si>
  <si>
    <t>Conventional war weapons</t>
  </si>
  <si>
    <t>Conventional war weapons - Haz</t>
  </si>
  <si>
    <t>Missiles</t>
  </si>
  <si>
    <t>Missiles - Haz</t>
  </si>
  <si>
    <t>Rockets &amp; subsyst</t>
  </si>
  <si>
    <t>Rockets &amp; subsyst - Haz</t>
  </si>
  <si>
    <t>Launchers</t>
  </si>
  <si>
    <t>Launchers - Haz</t>
  </si>
  <si>
    <t>Law enforcement</t>
  </si>
  <si>
    <t>Law enforcement - Haz</t>
  </si>
  <si>
    <t>Public safety &amp; ctrl &lt;$5K</t>
  </si>
  <si>
    <t>Public safety &amp; ctrl -Haz&lt;$5K</t>
  </si>
  <si>
    <t>Security equip &lt;$5K</t>
  </si>
  <si>
    <t>Security equip -Haz&lt;$5K</t>
  </si>
  <si>
    <t>Personal protection &lt;$5K</t>
  </si>
  <si>
    <t>Personal protection -Haz&lt;$5K</t>
  </si>
  <si>
    <t>Fire protection &lt;$5K</t>
  </si>
  <si>
    <t>Fire protection -Haz&lt;$5K</t>
  </si>
  <si>
    <t>Fitness equip</t>
  </si>
  <si>
    <t>53904</t>
  </si>
  <si>
    <t>56053</t>
  </si>
  <si>
    <t>Playground &amp; spa equip supplie</t>
  </si>
  <si>
    <t>Window treatments</t>
  </si>
  <si>
    <t>56040</t>
  </si>
  <si>
    <t>Consum electron &lt;$5K</t>
  </si>
  <si>
    <t>5216000002</t>
  </si>
  <si>
    <t>Consum electron &lt;$5K asset</t>
  </si>
  <si>
    <t>Furniture and Fixtures &lt;$5K</t>
  </si>
  <si>
    <t>Furniture and Fixtur -Grn&lt;$5K</t>
  </si>
  <si>
    <t>Commercial furniture</t>
  </si>
  <si>
    <t>Commercial furniture - Grn</t>
  </si>
  <si>
    <t>Instructional furnishing</t>
  </si>
  <si>
    <t>Instructional furnishing - Grn</t>
  </si>
  <si>
    <t>Merchandising furnishing</t>
  </si>
  <si>
    <t>Merchandising furnishing - Grn</t>
  </si>
  <si>
    <t>Music Instru &amp; parts&lt;$5K</t>
  </si>
  <si>
    <t>6013000002</t>
  </si>
  <si>
    <t>Music Instru &amp; parts&lt;$5K asset</t>
  </si>
  <si>
    <t>51014</t>
  </si>
  <si>
    <t>Mining machy equip</t>
  </si>
  <si>
    <t>Mining equip - Haz</t>
  </si>
  <si>
    <t>Well drilling equip</t>
  </si>
  <si>
    <t>Well drilling equip - Haz</t>
  </si>
  <si>
    <t>Oil &amp; gas drilling equip</t>
  </si>
  <si>
    <t>Oil &amp; gas drilling equip - Haz</t>
  </si>
  <si>
    <t>Oil &amp; gas drilling mtrls</t>
  </si>
  <si>
    <t>Oil &amp; gas drilling mtrls - Haz</t>
  </si>
  <si>
    <t>Oil &amp; gas prodn equip</t>
  </si>
  <si>
    <t>Oil &amp; gas prodn equip - Haz</t>
  </si>
  <si>
    <t>Agrcltl, lndscp equip</t>
  </si>
  <si>
    <t>Agrcltl, lndscp equip - Haz</t>
  </si>
  <si>
    <t>fshng, aquaculture equip</t>
  </si>
  <si>
    <t>fshng, aquaculture equip - Haz</t>
  </si>
  <si>
    <t>Heavy constrctn equip</t>
  </si>
  <si>
    <t>Heavy constrctn equip - Haz</t>
  </si>
  <si>
    <t>Mtrls processing machy</t>
  </si>
  <si>
    <t>Mtrls processing machy - Haz</t>
  </si>
  <si>
    <t>Petroleum machy</t>
  </si>
  <si>
    <t>Petroleum machy - Haz</t>
  </si>
  <si>
    <t>Textile &amp; fabric machy</t>
  </si>
  <si>
    <t>Textile &amp; fabric machy - Haz</t>
  </si>
  <si>
    <t>Lapidary equip</t>
  </si>
  <si>
    <t>Lapidary equip - Haz</t>
  </si>
  <si>
    <t>Leather repair equip</t>
  </si>
  <si>
    <t>Leather repair equip - Haz</t>
  </si>
  <si>
    <t>indstrl equip &amp; supplies</t>
  </si>
  <si>
    <t>indstrl equip &amp; supplies - Haz</t>
  </si>
  <si>
    <t>Foundry equip</t>
  </si>
  <si>
    <t>Foundry equip - Haz</t>
  </si>
  <si>
    <t>Mixers &amp; their parts &amp; accssrs</t>
  </si>
  <si>
    <t>Mass transfer equip</t>
  </si>
  <si>
    <t>Mass transfer equip - Haz</t>
  </si>
  <si>
    <t>Electronic mfg equip</t>
  </si>
  <si>
    <t>Electronic mfg equip - Haz</t>
  </si>
  <si>
    <t>Chicken processing equip</t>
  </si>
  <si>
    <t>Chicken processing equip - Haz</t>
  </si>
  <si>
    <t>Sawmill &amp; lumber equip</t>
  </si>
  <si>
    <t>Sawmill &amp; lumber equip - Haz</t>
  </si>
  <si>
    <t>Metal cutting machy</t>
  </si>
  <si>
    <t>Metal cutting machy - Haz</t>
  </si>
  <si>
    <t>Metal forming machy</t>
  </si>
  <si>
    <t>Metal forming machy - Haz</t>
  </si>
  <si>
    <t>Rapid prototyping machy</t>
  </si>
  <si>
    <t>Rapid prototyping machy - Haz</t>
  </si>
  <si>
    <t>Welding, soldering machy</t>
  </si>
  <si>
    <t>Welding, soldering machy - Haz</t>
  </si>
  <si>
    <t>Metal treatment machy</t>
  </si>
  <si>
    <t>Metal treatment machy - Haz</t>
  </si>
  <si>
    <t>indstrl machine tools</t>
  </si>
  <si>
    <t>indstrl machine tools - Haz</t>
  </si>
  <si>
    <t>Material h&amp;ling equip</t>
  </si>
  <si>
    <t>Material h&amp;ling equip - Haz</t>
  </si>
  <si>
    <t>Non motorized cycles</t>
  </si>
  <si>
    <t>Non motorized cycles - Grn</t>
  </si>
  <si>
    <t>Atomic &amp; nuclear equip</t>
  </si>
  <si>
    <t>Atom Nuc equip -Haz&lt;$5K</t>
  </si>
  <si>
    <t>2614000082</t>
  </si>
  <si>
    <t>Atom Nuc equip -Haz&lt;$5K asset</t>
  </si>
  <si>
    <t>Hydraulic equip</t>
  </si>
  <si>
    <t>Hydraulic equip - Haz</t>
  </si>
  <si>
    <t>Pneumatic equip</t>
  </si>
  <si>
    <t>Pneumatic equip - Haz</t>
  </si>
  <si>
    <t>automtv specialty tools - Haz</t>
  </si>
  <si>
    <t>Laundry, dry clng equip</t>
  </si>
  <si>
    <t>Laundry, dry clng equip - Haz</t>
  </si>
  <si>
    <t>Institutional food svcs equip</t>
  </si>
  <si>
    <t>Vending machines</t>
  </si>
  <si>
    <t>Gambling or wagering equip</t>
  </si>
  <si>
    <t>Gemstones</t>
  </si>
  <si>
    <t>HVAC equip</t>
  </si>
  <si>
    <t>HVAC equip - Grn</t>
  </si>
  <si>
    <t>Land mgmt &amp; protection</t>
  </si>
  <si>
    <t>Land mgmt &amp; protection - Haz</t>
  </si>
  <si>
    <t>Land mgmt &amp; protection - Grn</t>
  </si>
  <si>
    <t>frstry</t>
  </si>
  <si>
    <t>frstry - Grn</t>
  </si>
  <si>
    <t>Wildlife &amp; flora</t>
  </si>
  <si>
    <t>Wildlife &amp; flora - Grn</t>
  </si>
  <si>
    <t>2318000001</t>
  </si>
  <si>
    <t>Food &amp; beverage equip &gt;$5K</t>
  </si>
  <si>
    <t>2413000001</t>
  </si>
  <si>
    <t>Indstrl refrigeration&gt;$5K</t>
  </si>
  <si>
    <t>2613000001</t>
  </si>
  <si>
    <t>Power generation&gt;$5K</t>
  </si>
  <si>
    <t>2613000081</t>
  </si>
  <si>
    <t>Power generation -Haz&gt;$5K</t>
  </si>
  <si>
    <t>2613000091</t>
  </si>
  <si>
    <t>Power generation -Grn&gt;$5K</t>
  </si>
  <si>
    <t>2614000081</t>
  </si>
  <si>
    <t>Atom Nuclear equip -Haz&gt;$5K</t>
  </si>
  <si>
    <t>2714000001</t>
  </si>
  <si>
    <t>Auto Spec Tools &gt;$5K</t>
  </si>
  <si>
    <t>4110000001</t>
  </si>
  <si>
    <t>Lab &amp; scien equip &gt;$5K</t>
  </si>
  <si>
    <t>4321000001</t>
  </si>
  <si>
    <t>Computer equipment &gt;$1K asset</t>
  </si>
  <si>
    <t>51032</t>
  </si>
  <si>
    <t>4321210001</t>
  </si>
  <si>
    <t>Computer printers &gt;$1k asset</t>
  </si>
  <si>
    <t>4321211001</t>
  </si>
  <si>
    <t>Multi func printers &gt;$1k asset</t>
  </si>
  <si>
    <t>4322000001</t>
  </si>
  <si>
    <t>Network Comm accssrs&gt;$5K</t>
  </si>
  <si>
    <t>4410000001</t>
  </si>
  <si>
    <t>Office machines &gt;$5K</t>
  </si>
  <si>
    <t>4410000091</t>
  </si>
  <si>
    <t>Office machines Grn&gt;$5K</t>
  </si>
  <si>
    <t>4511000001</t>
  </si>
  <si>
    <t>Audio visual equip &gt;$5K</t>
  </si>
  <si>
    <t>4619000001</t>
  </si>
  <si>
    <t>Fire protection &gt;$5K</t>
  </si>
  <si>
    <t>4619000081</t>
  </si>
  <si>
    <t>Fire protection -Haz&gt;$5K</t>
  </si>
  <si>
    <t>Domestic Appliances &lt;$5K</t>
  </si>
  <si>
    <t>5214000001</t>
  </si>
  <si>
    <t>Appliances &gt;$5K</t>
  </si>
  <si>
    <t>5216000001</t>
  </si>
  <si>
    <t>Consumer electronics &gt;$5K</t>
  </si>
  <si>
    <t>5610000001</t>
  </si>
  <si>
    <t>Furniture and Fixtures &gt;$5K</t>
  </si>
  <si>
    <t>55005</t>
  </si>
  <si>
    <t>56041</t>
  </si>
  <si>
    <t>5610000091</t>
  </si>
  <si>
    <t>Furniture and Fixtur-Grn &gt;$5K</t>
  </si>
  <si>
    <t>6013000001</t>
  </si>
  <si>
    <t>Music Instrument &amp; parts &gt;$5K</t>
  </si>
  <si>
    <t>55011</t>
  </si>
  <si>
    <t>56058</t>
  </si>
  <si>
    <t>2510000001</t>
  </si>
  <si>
    <t>Motor vehicles &gt;$5K</t>
  </si>
  <si>
    <t>2510000091</t>
  </si>
  <si>
    <t>Motor vehicles -Grn &gt;$5K</t>
  </si>
  <si>
    <t>2511000001</t>
  </si>
  <si>
    <t>Marine transport &gt;$5K</t>
  </si>
  <si>
    <t>Railway &amp; tramway equip</t>
  </si>
  <si>
    <t>Aircraft</t>
  </si>
  <si>
    <t>Aircraft - Haz</t>
  </si>
  <si>
    <t>Spacecraft</t>
  </si>
  <si>
    <t>Spacecraft - Haz</t>
  </si>
  <si>
    <t>4217000001</t>
  </si>
  <si>
    <t>Medical Lab Equip &gt;$5K</t>
  </si>
  <si>
    <t>55013</t>
  </si>
  <si>
    <t>56052</t>
  </si>
  <si>
    <t>4319000001</t>
  </si>
  <si>
    <t>Communications Devices &gt;$5K</t>
  </si>
  <si>
    <t>55014</t>
  </si>
  <si>
    <t>51021</t>
  </si>
  <si>
    <t>4616000001</t>
  </si>
  <si>
    <t>Public safety &amp; ctrl &gt;$5K</t>
  </si>
  <si>
    <t>55012</t>
  </si>
  <si>
    <t>56057</t>
  </si>
  <si>
    <t>4616000081</t>
  </si>
  <si>
    <t>Public safe &amp; ctrl -Haz &gt;$5K</t>
  </si>
  <si>
    <t>4617000001</t>
  </si>
  <si>
    <t>Security equip&gt;$5K</t>
  </si>
  <si>
    <t>4617000081</t>
  </si>
  <si>
    <t>Security equip -Haz&gt;$5K</t>
  </si>
  <si>
    <t>4618000001</t>
  </si>
  <si>
    <t>Personal protection &gt;$5K</t>
  </si>
  <si>
    <t>4618000081</t>
  </si>
  <si>
    <t>Personal protection -Haz&gt;$5K</t>
  </si>
  <si>
    <t>Surgical equip Repair svcs</t>
  </si>
  <si>
    <t>80124</t>
  </si>
  <si>
    <t>Fringe Benefits</t>
  </si>
  <si>
    <t>50451</t>
  </si>
  <si>
    <t>0</t>
  </si>
  <si>
    <t>60025</t>
  </si>
  <si>
    <t>0000000100</t>
  </si>
  <si>
    <t>CITY BU Health Insurance</t>
  </si>
  <si>
    <t>0000090100</t>
  </si>
  <si>
    <t>State BU Health Insurance</t>
  </si>
  <si>
    <t>50453</t>
  </si>
  <si>
    <t>50454</t>
  </si>
  <si>
    <t>0000000200</t>
  </si>
  <si>
    <t>CITY BU Employee Welfare</t>
  </si>
  <si>
    <t>60010</t>
  </si>
  <si>
    <t>0000000300</t>
  </si>
  <si>
    <t>CITY BU Faculty Welfare</t>
  </si>
  <si>
    <t>0000090200</t>
  </si>
  <si>
    <t>State BU Employee Welfare</t>
  </si>
  <si>
    <t>0000090300</t>
  </si>
  <si>
    <t>State BU Faculty Welfare</t>
  </si>
  <si>
    <t>200</t>
  </si>
  <si>
    <t>300</t>
  </si>
  <si>
    <t>50553</t>
  </si>
  <si>
    <t>0000000700</t>
  </si>
  <si>
    <t>CITY BU Workers Compensation</t>
  </si>
  <si>
    <t>60100</t>
  </si>
  <si>
    <t>0000090700</t>
  </si>
  <si>
    <t>State BU Workers Compensation</t>
  </si>
  <si>
    <t>700</t>
  </si>
  <si>
    <t>50601</t>
  </si>
  <si>
    <t>50603</t>
  </si>
  <si>
    <t>0000000400</t>
  </si>
  <si>
    <t>CITY BU TRS</t>
  </si>
  <si>
    <t>60074</t>
  </si>
  <si>
    <t>0000000500</t>
  </si>
  <si>
    <t>CITY BU ERS</t>
  </si>
  <si>
    <t>50602</t>
  </si>
  <si>
    <t>0000000600</t>
  </si>
  <si>
    <t>CITY BU TIAA CREF</t>
  </si>
  <si>
    <t>0000090400</t>
  </si>
  <si>
    <t>State BU TRS</t>
  </si>
  <si>
    <t>0000090500</t>
  </si>
  <si>
    <t>State BU ERS</t>
  </si>
  <si>
    <t>400</t>
  </si>
  <si>
    <t>500</t>
  </si>
  <si>
    <t>600</t>
  </si>
  <si>
    <t>50701</t>
  </si>
  <si>
    <t>0000000800</t>
  </si>
  <si>
    <t>CITY BU Unemployment</t>
  </si>
  <si>
    <t>60086</t>
  </si>
  <si>
    <t>0000090800</t>
  </si>
  <si>
    <t>State BU Unemployment</t>
  </si>
  <si>
    <t>800</t>
  </si>
  <si>
    <t>50753</t>
  </si>
  <si>
    <t>5310270000</t>
  </si>
  <si>
    <t>Uniforms</t>
  </si>
  <si>
    <t>50104</t>
  </si>
  <si>
    <t>52701</t>
  </si>
  <si>
    <t>0000003000</t>
  </si>
  <si>
    <t>Honoraria</t>
  </si>
  <si>
    <t>3000</t>
  </si>
  <si>
    <t>Account Code : Description</t>
  </si>
  <si>
    <t>50451 : 0</t>
  </si>
  <si>
    <t>50451 : CITY BU Health Insurance</t>
  </si>
  <si>
    <t>50451 : State BU Health Insurance</t>
  </si>
  <si>
    <t>50451 : 100</t>
  </si>
  <si>
    <t>50453 : CITY BU Employee Welfare</t>
  </si>
  <si>
    <t>50454 : CITY BU Faculty Welfare</t>
  </si>
  <si>
    <t>50453 : State BU Employee Welfare</t>
  </si>
  <si>
    <t>50454 : State BU Faculty Welfare</t>
  </si>
  <si>
    <t>50453 : 200</t>
  </si>
  <si>
    <t>50454 : 300</t>
  </si>
  <si>
    <t>50553 : CITY BU Workers Compensation</t>
  </si>
  <si>
    <t>50553 : State BU Workers Compensation</t>
  </si>
  <si>
    <t>50553 : 700</t>
  </si>
  <si>
    <t>50601 : CITY BU TRS</t>
  </si>
  <si>
    <t>50602 : CITY BU ERS</t>
  </si>
  <si>
    <t>50603 : CITY BU TIAA CREF</t>
  </si>
  <si>
    <t>50601 : State BU TRS</t>
  </si>
  <si>
    <t>50602 : State BU ERS</t>
  </si>
  <si>
    <t>50601 : 400</t>
  </si>
  <si>
    <t>50602 : 500</t>
  </si>
  <si>
    <t>50603 : 600</t>
  </si>
  <si>
    <t>50701 : CITY BU Unemployment</t>
  </si>
  <si>
    <t>50701 : State BU Unemployment</t>
  </si>
  <si>
    <t>50701 : 800</t>
  </si>
  <si>
    <t>50753 : Uniforms</t>
  </si>
  <si>
    <t>52701 : Honoraria</t>
  </si>
  <si>
    <t>52701 : 3000</t>
  </si>
  <si>
    <t>80124 : NPS Fringe Benefits</t>
  </si>
  <si>
    <t>53903 : Food &amp; beverage equip&lt;$5K</t>
  </si>
  <si>
    <t>53903 : Indstrl refrigeration &lt;$5K</t>
  </si>
  <si>
    <t>53908 : Motor vehicles &lt; $5K</t>
  </si>
  <si>
    <t>53908 : Motor vehicles &lt;$5K asset</t>
  </si>
  <si>
    <t>53908 : Motor vehicles -Grn&lt;$5K</t>
  </si>
  <si>
    <t>53908 : Motor vehicles -Grn&lt;$5K asset</t>
  </si>
  <si>
    <t>53908 : Marine transport&lt; $5K</t>
  </si>
  <si>
    <t>53908 : Marine transport &lt;$5K asset</t>
  </si>
  <si>
    <t>53903 : Power generation &lt;$5K</t>
  </si>
  <si>
    <t>53903 : Power generation -Haz&lt;$5K</t>
  </si>
  <si>
    <t>53903 : Power generation -Grn&lt;$5K</t>
  </si>
  <si>
    <t>53903 : Auto Spec Tools &lt; $5K</t>
  </si>
  <si>
    <t>53903 : Auto Spec Tools &lt;$5K asset</t>
  </si>
  <si>
    <t>53903 : Lab &amp; scien equip &lt;$5K asset</t>
  </si>
  <si>
    <t>53907 : Medical Lab Equip &lt;$5K</t>
  </si>
  <si>
    <t>53907 : Medical Lab Equip &lt;$5K asset</t>
  </si>
  <si>
    <t>53908 : Comm Devices &lt;$5K</t>
  </si>
  <si>
    <t>53908 : Comm Devices &lt;$5K asset</t>
  </si>
  <si>
    <t>53905 : Computer equipment &lt;$1K</t>
  </si>
  <si>
    <t>53905 : Computer equipment &lt;$1K asset</t>
  </si>
  <si>
    <t>53905 : Computer Accessories&lt;$1K</t>
  </si>
  <si>
    <t>53905 : Computer Accessories&lt;$1K asset</t>
  </si>
  <si>
    <t>53905 : Computer printers &lt;$1K</t>
  </si>
  <si>
    <t>53905 : Computer printers &lt;$1K asset</t>
  </si>
  <si>
    <t>53905 : Multi function print&lt;$1K</t>
  </si>
  <si>
    <t>53905 : Multi function print&lt;$1K asset</t>
  </si>
  <si>
    <t>53903 : Network Commm accssrs&lt;$5K</t>
  </si>
  <si>
    <t>53903 : Office machines &lt;$5K</t>
  </si>
  <si>
    <t>53903 : Office machines Grn&lt;$5K</t>
  </si>
  <si>
    <t>53903 : Audio visual equip&lt;$5K</t>
  </si>
  <si>
    <t>53903 : Audio visual equip&lt;$5K asset</t>
  </si>
  <si>
    <t>53906 : Public safety &amp; ctrl &lt;$5K</t>
  </si>
  <si>
    <t>53906 : Public safety &amp; ctrl -Haz&lt;$5K</t>
  </si>
  <si>
    <t>53906 : Security equip &lt;$5K</t>
  </si>
  <si>
    <t>53906 : Security equip -Haz&lt;$5K</t>
  </si>
  <si>
    <t>53906 : Personal protection &lt;$5K</t>
  </si>
  <si>
    <t>53906 : Personal protection -Haz&lt;$5K</t>
  </si>
  <si>
    <t>53903 : Fire protection &lt;$5K</t>
  </si>
  <si>
    <t>53903 : Fire protection -Haz&lt;$5K</t>
  </si>
  <si>
    <t>53903 : Consum electron &lt;$5K</t>
  </si>
  <si>
    <t>53903 : Consum electron &lt;$5K asset</t>
  </si>
  <si>
    <t>53902 : Furniture and Fixtures &lt;$5K</t>
  </si>
  <si>
    <t>53902 : Furniture and Fixtur -Grn&lt;$5K</t>
  </si>
  <si>
    <t>53903 : Music Instru &amp; parts&lt;$5K</t>
  </si>
  <si>
    <t>53903 : Music Instru &amp; parts&lt;$5K asset</t>
  </si>
  <si>
    <t>53911 : Atom Nuc equip -Haz&lt;$5K</t>
  </si>
  <si>
    <t>53911 : Atom Nuc equip -Haz&lt;$5K asset</t>
  </si>
  <si>
    <t>55004 : Food &amp; beverage equip &gt;$5K</t>
  </si>
  <si>
    <t>55004 : Indstrl refrigeration&gt;$5K</t>
  </si>
  <si>
    <t>55004 : Power generation&gt;$5K</t>
  </si>
  <si>
    <t>55004 : Power generation -Haz&gt;$5K</t>
  </si>
  <si>
    <t>55004 : Power generation -Grn&gt;$5K</t>
  </si>
  <si>
    <t>55004 : Atom Nuclear equip -Haz&gt;$5K</t>
  </si>
  <si>
    <t>55004 : Auto Spec Tools &gt;$5K</t>
  </si>
  <si>
    <t>55004 : Lab &amp; scien equip &gt;$5K</t>
  </si>
  <si>
    <t>55006 : Computer equipment &gt;$1K asset</t>
  </si>
  <si>
    <t>55006 : Computer printers &gt;$1k asset</t>
  </si>
  <si>
    <t>55006 : Multi func printers &gt;$1k asset</t>
  </si>
  <si>
    <t>55004 : Network Comm accssrs&gt;$5K</t>
  </si>
  <si>
    <t>55004 : Office machines &gt;$5K</t>
  </si>
  <si>
    <t>55004 : Office machines Grn&gt;$5K</t>
  </si>
  <si>
    <t>55004 : Audio visual equip &gt;$5K</t>
  </si>
  <si>
    <t>55004 : Fire protection &gt;$5K</t>
  </si>
  <si>
    <t>55004 : Fire protection -Haz&gt;$5K</t>
  </si>
  <si>
    <t>55004 : Domestic Appliances &lt;$5K</t>
  </si>
  <si>
    <t>55004 : Appliances &gt;$5K</t>
  </si>
  <si>
    <t>55004 : Consumer electronics &gt;$5K</t>
  </si>
  <si>
    <t>55005 : Furniture and Fixtures &gt;$5K</t>
  </si>
  <si>
    <t>55005 : Furniture and Fixtur-Grn &gt;$5K</t>
  </si>
  <si>
    <t>55004 : Music Instrument &amp; parts &gt;$5K</t>
  </si>
  <si>
    <t>55011 : Motor vehicles &gt;$5K</t>
  </si>
  <si>
    <t>55011 : Motor vehicles -Grn &gt;$5K</t>
  </si>
  <si>
    <t>55011 : Marine transport &gt;$5K</t>
  </si>
  <si>
    <t>55013 : Medical Lab Equip &gt;$5K</t>
  </si>
  <si>
    <t>55014 : Communications Devices &gt;$5K</t>
  </si>
  <si>
    <t>55012 : Public safety &amp; ctrl &gt;$5K</t>
  </si>
  <si>
    <t>55012 : Public safe &amp; ctrl -Haz &gt;$5K</t>
  </si>
  <si>
    <t>55012 : Security equip&gt;$5K</t>
  </si>
  <si>
    <t>55012 : Security equip -Haz&gt;$5K</t>
  </si>
  <si>
    <t>55012 : Personal protection &gt;$5K</t>
  </si>
  <si>
    <t>55012 : Personal protection -Haz&gt;$5K</t>
  </si>
  <si>
    <t>52351 : Professional performers</t>
  </si>
  <si>
    <t>52351 : Performing arts</t>
  </si>
  <si>
    <t>52351 : Commercial sports</t>
  </si>
  <si>
    <t>52351 : Entertainment svcs</t>
  </si>
  <si>
    <t>53910 : Software &lt;$1K</t>
  </si>
  <si>
    <t>53910 : Software &lt;$5K asset</t>
  </si>
  <si>
    <t>55002 : 7211000000</t>
  </si>
  <si>
    <t>55002 : 7211110000</t>
  </si>
  <si>
    <t>55002 : 7211114000</t>
  </si>
  <si>
    <t>55002 : Building Improvements&gt;$25K</t>
  </si>
  <si>
    <t>55002 : 7211119000</t>
  </si>
  <si>
    <t>55002 : Building Improvements Grn&gt;$25K</t>
  </si>
  <si>
    <t>55007 : Software &gt;$5K asset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</si>
</sst>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 Unicode MS"/>
    </font>
    <font>
      <sz val="10"/>
      <color theme="2" tint="-0.249977111117893"/>
      <name val="Arial Unicode MS"/>
      <family val="2"/>
    </font>
    <font>
      <sz val="10"/>
      <color theme="5" tint="-0.499984740745262"/>
      <name val="Arial Unicode MS"/>
      <family val="2"/>
    </font>
    <font>
      <sz val="14"/>
      <color theme="6" tint="-0.499984740745262"/>
      <name val="Arial Unicode MS"/>
      <family val="2"/>
    </font>
    <font>
      <b/>
      <sz val="14"/>
      <color theme="6" tint="-0.499984740745262"/>
      <name val="Arial Unicode MS"/>
      <family val="2"/>
    </font>
    <font>
      <sz val="10"/>
      <color theme="5" tint="-0.499984740745262"/>
      <name val="Arial Unicode MS"/>
      <family val="2"/>
    </font>
    <font>
      <b/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Arial Unicode M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 Unicode MS"/>
      <family val="2"/>
    </font>
    <font>
      <b/>
      <sz val="10"/>
      <color theme="5" tint="-0.499984740745262"/>
      <name val="Arial Unicode MS"/>
      <family val="2"/>
    </font>
    <font>
      <b/>
      <sz val="10"/>
      <color theme="2" tint="-0.249977111117893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1" xfId="0" applyFont="1" applyBorder="1"/>
    <xf numFmtId="0" fontId="7" fillId="0" borderId="0" xfId="0" applyFont="1"/>
    <xf numFmtId="49" fontId="8" fillId="5" borderId="2" xfId="0" applyNumberFormat="1" applyFont="1" applyFill="1" applyBorder="1"/>
    <xf numFmtId="43" fontId="0" fillId="0" borderId="0" xfId="0" applyNumberFormat="1"/>
    <xf numFmtId="49" fontId="0" fillId="0" borderId="0" xfId="0" applyNumberFormat="1"/>
    <xf numFmtId="2" fontId="0" fillId="0" borderId="0" xfId="0" applyNumberFormat="1"/>
    <xf numFmtId="0" fontId="4" fillId="0" borderId="0" xfId="0" applyFont="1" applyProtection="1"/>
    <xf numFmtId="0" fontId="3" fillId="0" borderId="0" xfId="0" applyFont="1" applyProtection="1"/>
    <xf numFmtId="0" fontId="1" fillId="0" borderId="0" xfId="0" applyFont="1" applyProtection="1"/>
    <xf numFmtId="0" fontId="0" fillId="0" borderId="0" xfId="0" applyFill="1" applyProtection="1"/>
    <xf numFmtId="0" fontId="0" fillId="2" borderId="0" xfId="0" applyFill="1" applyProtection="1"/>
    <xf numFmtId="0" fontId="0" fillId="0" borderId="0" xfId="0" applyProtection="1"/>
    <xf numFmtId="0" fontId="0" fillId="3" borderId="0" xfId="0" applyFill="1" applyProtection="1"/>
    <xf numFmtId="0" fontId="5" fillId="0" borderId="0" xfId="0" applyFont="1" applyProtection="1"/>
    <xf numFmtId="0" fontId="5" fillId="2" borderId="0" xfId="0" applyFont="1" applyFill="1" applyProtection="1"/>
    <xf numFmtId="0" fontId="2" fillId="0" borderId="0" xfId="0" applyFont="1" applyProtection="1"/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2" fillId="0" borderId="0" xfId="0" applyFont="1" applyAlignment="1" applyProtection="1">
      <alignment horizontal="left"/>
    </xf>
    <xf numFmtId="49" fontId="11" fillId="5" borderId="2" xfId="0" applyNumberFormat="1" applyFont="1" applyFill="1" applyBorder="1"/>
    <xf numFmtId="49" fontId="8" fillId="5" borderId="4" xfId="0" applyNumberFormat="1" applyFont="1" applyFill="1" applyBorder="1"/>
    <xf numFmtId="0" fontId="12" fillId="4" borderId="0" xfId="0" applyFont="1" applyFill="1" applyProtection="1"/>
    <xf numFmtId="0" fontId="13" fillId="2" borderId="0" xfId="0" applyFont="1" applyFill="1" applyProtection="1"/>
    <xf numFmtId="0" fontId="8" fillId="0" borderId="0" xfId="0" applyFont="1" applyProtection="1"/>
    <xf numFmtId="0" fontId="13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C336"/>
  <sheetViews>
    <sheetView workbookViewId="0">
      <selection activeCell="B18" sqref="B18"/>
    </sheetView>
  </sheetViews>
  <sheetFormatPr defaultRowHeight="15"/>
  <cols>
    <col min="1" max="1" width="35" customWidth="1"/>
    <col min="2" max="2" width="43.140625" customWidth="1"/>
  </cols>
  <sheetData>
    <row r="1" spans="1:2" ht="15.75">
      <c r="A1" s="1" t="s">
        <v>1314</v>
      </c>
      <c r="B1" s="1" t="s">
        <v>1315</v>
      </c>
    </row>
    <row r="2" spans="1:2" ht="15.75" customHeight="1">
      <c r="A2" t="s">
        <v>1316</v>
      </c>
      <c r="B2" t="s">
        <v>1317</v>
      </c>
    </row>
    <row r="3" spans="1:2" ht="15.75" customHeight="1">
      <c r="A3" t="s">
        <v>1318</v>
      </c>
      <c r="B3" t="s">
        <v>1318</v>
      </c>
    </row>
    <row r="4" spans="1:2" ht="15.75" customHeight="1">
      <c r="A4" t="s">
        <v>1319</v>
      </c>
      <c r="B4" t="s">
        <v>1319</v>
      </c>
    </row>
    <row r="5" spans="1:2" ht="15.75" customHeight="1">
      <c r="A5" t="s">
        <v>1320</v>
      </c>
      <c r="B5" t="s">
        <v>1320</v>
      </c>
    </row>
    <row r="6" spans="1:2" ht="15.75" customHeight="1">
      <c r="A6" s="2" t="s">
        <v>1321</v>
      </c>
      <c r="B6" t="s">
        <v>1317</v>
      </c>
    </row>
    <row r="7" spans="1:2" ht="15.75" customHeight="1">
      <c r="A7" t="s">
        <v>1322</v>
      </c>
      <c r="B7" t="s">
        <v>1317</v>
      </c>
    </row>
    <row r="8" spans="1:2" ht="15.75" customHeight="1">
      <c r="B8" t="s">
        <v>1323</v>
      </c>
    </row>
    <row r="9" spans="1:2" ht="15.75" customHeight="1">
      <c r="B9" t="s">
        <v>1324</v>
      </c>
    </row>
    <row r="10" spans="1:2" ht="15.75" customHeight="1">
      <c r="B10" t="s">
        <v>1325</v>
      </c>
    </row>
    <row r="11" spans="1:2" ht="15.75" customHeight="1">
      <c r="A11" t="s">
        <v>1326</v>
      </c>
      <c r="B11" t="s">
        <v>1317</v>
      </c>
    </row>
    <row r="12" spans="1:2" ht="15.75" customHeight="1">
      <c r="B12" t="s">
        <v>1327</v>
      </c>
    </row>
    <row r="13" spans="1:2" ht="15.75" customHeight="1">
      <c r="B13" t="s">
        <v>1328</v>
      </c>
    </row>
    <row r="14" spans="1:2" ht="15.75" customHeight="1">
      <c r="A14" t="s">
        <v>1329</v>
      </c>
      <c r="B14" t="s">
        <v>1317</v>
      </c>
    </row>
    <row r="15" spans="1:2" ht="15.75" customHeight="1">
      <c r="B15" t="s">
        <v>1330</v>
      </c>
    </row>
    <row r="16" spans="1:2" ht="15.75" customHeight="1">
      <c r="A16" t="s">
        <v>1331</v>
      </c>
      <c r="B16" t="s">
        <v>1317</v>
      </c>
    </row>
    <row r="17" spans="1:2" ht="15.75" customHeight="1">
      <c r="B17" t="s">
        <v>1332</v>
      </c>
    </row>
    <row r="18" spans="1:2" ht="15.75" customHeight="1">
      <c r="A18" t="s">
        <v>1333</v>
      </c>
      <c r="B18" t="s">
        <v>1317</v>
      </c>
    </row>
    <row r="19" spans="1:2" ht="15.75" customHeight="1">
      <c r="B19" t="s">
        <v>1334</v>
      </c>
    </row>
    <row r="20" spans="1:2" ht="15.75" customHeight="1">
      <c r="A20" t="s">
        <v>1335</v>
      </c>
      <c r="B20" t="s">
        <v>1317</v>
      </c>
    </row>
    <row r="21" spans="1:2" ht="15.75" customHeight="1">
      <c r="B21" t="s">
        <v>1336</v>
      </c>
    </row>
    <row r="22" spans="1:2" ht="15.75" customHeight="1">
      <c r="A22" t="s">
        <v>1337</v>
      </c>
      <c r="B22" t="s">
        <v>1317</v>
      </c>
    </row>
    <row r="23" spans="1:2" ht="15.75" customHeight="1">
      <c r="B23" t="s">
        <v>1338</v>
      </c>
    </row>
    <row r="24" spans="1:2" ht="15.75" customHeight="1">
      <c r="B24" t="s">
        <v>1339</v>
      </c>
    </row>
    <row r="25" spans="1:2" ht="15.75" customHeight="1">
      <c r="A25" t="s">
        <v>1340</v>
      </c>
      <c r="B25" t="s">
        <v>1317</v>
      </c>
    </row>
    <row r="26" spans="1:2" ht="15.75" customHeight="1">
      <c r="B26" t="s">
        <v>1341</v>
      </c>
    </row>
    <row r="27" spans="1:2" ht="15.75" customHeight="1">
      <c r="B27" t="s">
        <v>1342</v>
      </c>
    </row>
    <row r="28" spans="1:2" ht="15.75" customHeight="1">
      <c r="A28" t="s">
        <v>1343</v>
      </c>
      <c r="B28" t="s">
        <v>1317</v>
      </c>
    </row>
    <row r="29" spans="1:2" ht="15.75" customHeight="1">
      <c r="B29" t="s">
        <v>1344</v>
      </c>
    </row>
    <row r="30" spans="1:2" ht="15.75" customHeight="1">
      <c r="B30" t="s">
        <v>1345</v>
      </c>
    </row>
    <row r="31" spans="1:2" ht="15.75" customHeight="1">
      <c r="A31" t="s">
        <v>1346</v>
      </c>
      <c r="B31" t="s">
        <v>1317</v>
      </c>
    </row>
    <row r="32" spans="1:2" ht="15.75" customHeight="1">
      <c r="B32" t="s">
        <v>1347</v>
      </c>
    </row>
    <row r="33" spans="1:2" ht="15.75" customHeight="1">
      <c r="B33" t="s">
        <v>1348</v>
      </c>
    </row>
    <row r="34" spans="1:2" ht="15.75" customHeight="1">
      <c r="A34" t="s">
        <v>1349</v>
      </c>
      <c r="B34" t="s">
        <v>1317</v>
      </c>
    </row>
    <row r="35" spans="1:2" ht="15.75" customHeight="1">
      <c r="B35" t="s">
        <v>1350</v>
      </c>
    </row>
    <row r="36" spans="1:2" ht="15.75" customHeight="1">
      <c r="A36" t="s">
        <v>1351</v>
      </c>
      <c r="B36" t="s">
        <v>1317</v>
      </c>
    </row>
    <row r="37" spans="1:2" ht="15.75" customHeight="1">
      <c r="B37" t="s">
        <v>1352</v>
      </c>
    </row>
    <row r="38" spans="1:2" ht="15.75" customHeight="1">
      <c r="B38" t="s">
        <v>1353</v>
      </c>
    </row>
    <row r="39" spans="1:2" ht="15.75" customHeight="1">
      <c r="A39" t="s">
        <v>1354</v>
      </c>
      <c r="B39" t="s">
        <v>1317</v>
      </c>
    </row>
    <row r="40" spans="1:2" ht="15.75" customHeight="1">
      <c r="B40" t="s">
        <v>1355</v>
      </c>
    </row>
    <row r="41" spans="1:2" ht="15.75" customHeight="1">
      <c r="B41" t="s">
        <v>1356</v>
      </c>
    </row>
    <row r="42" spans="1:2" ht="15.75" customHeight="1">
      <c r="A42" t="s">
        <v>1357</v>
      </c>
      <c r="B42" t="s">
        <v>1317</v>
      </c>
    </row>
    <row r="43" spans="1:2" ht="15.75" customHeight="1">
      <c r="B43" t="s">
        <v>1358</v>
      </c>
    </row>
    <row r="44" spans="1:2" ht="15.75" customHeight="1">
      <c r="B44" t="s">
        <v>1359</v>
      </c>
    </row>
    <row r="45" spans="1:2" ht="15.75" customHeight="1">
      <c r="B45" t="s">
        <v>1360</v>
      </c>
    </row>
    <row r="46" spans="1:2" ht="15.75" customHeight="1">
      <c r="A46" t="s">
        <v>1361</v>
      </c>
      <c r="B46" t="s">
        <v>1317</v>
      </c>
    </row>
    <row r="47" spans="1:2" ht="15.75" customHeight="1">
      <c r="B47" t="s">
        <v>1362</v>
      </c>
    </row>
    <row r="48" spans="1:2" ht="15.75" customHeight="1">
      <c r="A48" t="s">
        <v>1363</v>
      </c>
      <c r="B48" t="s">
        <v>1317</v>
      </c>
    </row>
    <row r="49" spans="1:2" ht="15.75" customHeight="1">
      <c r="B49" t="s">
        <v>1364</v>
      </c>
    </row>
    <row r="50" spans="1:2" ht="15.75" customHeight="1">
      <c r="A50" t="s">
        <v>1365</v>
      </c>
      <c r="B50" t="s">
        <v>1317</v>
      </c>
    </row>
    <row r="51" spans="1:2" ht="15.75" customHeight="1">
      <c r="B51" t="s">
        <v>1366</v>
      </c>
    </row>
    <row r="52" spans="1:2" ht="15.75" customHeight="1">
      <c r="A52" t="s">
        <v>1367</v>
      </c>
      <c r="B52" t="s">
        <v>1317</v>
      </c>
    </row>
    <row r="53" spans="1:2" ht="15.75" customHeight="1">
      <c r="B53" t="s">
        <v>1368</v>
      </c>
    </row>
    <row r="54" spans="1:2" ht="15.75" customHeight="1">
      <c r="A54" t="s">
        <v>1369</v>
      </c>
      <c r="B54" t="s">
        <v>1317</v>
      </c>
    </row>
    <row r="55" spans="1:2" ht="15.75" customHeight="1">
      <c r="B55" t="s">
        <v>1370</v>
      </c>
    </row>
    <row r="56" spans="1:2" ht="15.75" customHeight="1">
      <c r="A56" t="s">
        <v>1371</v>
      </c>
      <c r="B56" t="s">
        <v>1317</v>
      </c>
    </row>
    <row r="57" spans="1:2" ht="15.75" customHeight="1">
      <c r="B57" t="s">
        <v>1372</v>
      </c>
    </row>
    <row r="58" spans="1:2" ht="15.75" customHeight="1">
      <c r="A58" t="s">
        <v>1373</v>
      </c>
      <c r="B58" t="s">
        <v>1317</v>
      </c>
    </row>
    <row r="59" spans="1:2" ht="15.75" customHeight="1">
      <c r="B59" t="s">
        <v>1374</v>
      </c>
    </row>
    <row r="60" spans="1:2" ht="15.75" customHeight="1">
      <c r="A60" s="2" t="s">
        <v>1375</v>
      </c>
      <c r="B60" t="s">
        <v>1317</v>
      </c>
    </row>
    <row r="61" spans="1:2" ht="15.75" customHeight="1">
      <c r="A61" t="s">
        <v>1376</v>
      </c>
      <c r="B61" t="s">
        <v>1317</v>
      </c>
    </row>
    <row r="62" spans="1:2" ht="15.75" customHeight="1">
      <c r="B62" t="s">
        <v>1377</v>
      </c>
    </row>
    <row r="63" spans="1:2" ht="15.75" customHeight="1">
      <c r="A63" t="s">
        <v>1378</v>
      </c>
      <c r="B63" t="s">
        <v>1317</v>
      </c>
    </row>
    <row r="64" spans="1:2" ht="15.75" customHeight="1">
      <c r="B64" t="s">
        <v>1379</v>
      </c>
    </row>
    <row r="65" spans="1:2" ht="15.75" customHeight="1">
      <c r="A65" t="s">
        <v>1380</v>
      </c>
      <c r="B65" t="s">
        <v>1317</v>
      </c>
    </row>
    <row r="66" spans="1:2" ht="15.75" customHeight="1">
      <c r="B66" t="s">
        <v>1381</v>
      </c>
    </row>
    <row r="67" spans="1:2" ht="15.75" customHeight="1">
      <c r="A67" t="s">
        <v>1382</v>
      </c>
      <c r="B67" t="s">
        <v>1317</v>
      </c>
    </row>
    <row r="68" spans="1:2" ht="15.75" customHeight="1">
      <c r="B68" t="s">
        <v>1383</v>
      </c>
    </row>
    <row r="69" spans="1:2" ht="15.75" customHeight="1">
      <c r="A69" t="s">
        <v>1384</v>
      </c>
      <c r="B69" t="s">
        <v>1317</v>
      </c>
    </row>
    <row r="70" spans="1:2" ht="15.75" customHeight="1">
      <c r="B70" t="s">
        <v>1385</v>
      </c>
    </row>
    <row r="71" spans="1:2" ht="15.75" customHeight="1">
      <c r="A71" t="s">
        <v>1386</v>
      </c>
      <c r="B71" t="s">
        <v>1317</v>
      </c>
    </row>
    <row r="72" spans="1:2" ht="15.75" customHeight="1">
      <c r="B72" t="s">
        <v>1387</v>
      </c>
    </row>
    <row r="73" spans="1:2" ht="15.75" customHeight="1">
      <c r="A73" t="s">
        <v>1388</v>
      </c>
      <c r="B73" t="s">
        <v>1317</v>
      </c>
    </row>
    <row r="74" spans="1:2" ht="15.75" customHeight="1">
      <c r="B74" t="s">
        <v>1389</v>
      </c>
    </row>
    <row r="75" spans="1:2" ht="15.75" customHeight="1">
      <c r="B75" t="s">
        <v>1390</v>
      </c>
    </row>
    <row r="76" spans="1:2" ht="15.75" customHeight="1">
      <c r="A76" t="s">
        <v>1391</v>
      </c>
      <c r="B76" t="s">
        <v>1317</v>
      </c>
    </row>
    <row r="77" spans="1:2" ht="15.75" customHeight="1">
      <c r="B77" t="s">
        <v>1392</v>
      </c>
    </row>
    <row r="78" spans="1:2" ht="15.75" customHeight="1">
      <c r="B78" t="s">
        <v>1393</v>
      </c>
    </row>
    <row r="79" spans="1:2" ht="15.75" customHeight="1">
      <c r="A79" t="s">
        <v>1394</v>
      </c>
      <c r="B79" t="s">
        <v>1317</v>
      </c>
    </row>
    <row r="80" spans="1:2" ht="15.75" customHeight="1">
      <c r="B80" t="s">
        <v>1395</v>
      </c>
    </row>
    <row r="81" spans="1:2" ht="15.75" customHeight="1">
      <c r="B81" t="s">
        <v>1396</v>
      </c>
    </row>
    <row r="82" spans="1:2" ht="15.75" customHeight="1">
      <c r="A82" t="s">
        <v>1397</v>
      </c>
      <c r="B82" t="s">
        <v>1317</v>
      </c>
    </row>
    <row r="83" spans="1:2" ht="15.75" customHeight="1">
      <c r="B83" t="s">
        <v>1398</v>
      </c>
    </row>
    <row r="84" spans="1:2" ht="15.75" customHeight="1">
      <c r="A84" t="s">
        <v>1399</v>
      </c>
      <c r="B84" t="s">
        <v>1317</v>
      </c>
    </row>
    <row r="85" spans="1:2" ht="15.75" customHeight="1">
      <c r="B85" t="s">
        <v>1400</v>
      </c>
    </row>
    <row r="86" spans="1:2" ht="15.75" customHeight="1">
      <c r="B86" t="s">
        <v>1401</v>
      </c>
    </row>
    <row r="87" spans="1:2" ht="15.75" customHeight="1">
      <c r="B87" t="s">
        <v>1402</v>
      </c>
    </row>
    <row r="88" spans="1:2" ht="15.75" customHeight="1">
      <c r="B88" t="s">
        <v>1403</v>
      </c>
    </row>
    <row r="89" spans="1:2" ht="15.75" customHeight="1">
      <c r="B89" t="s">
        <v>1404</v>
      </c>
    </row>
    <row r="90" spans="1:2" ht="15.75" customHeight="1">
      <c r="B90" t="s">
        <v>1405</v>
      </c>
    </row>
    <row r="91" spans="1:2" ht="15.75" customHeight="1">
      <c r="B91" t="s">
        <v>1406</v>
      </c>
    </row>
    <row r="92" spans="1:2" ht="15.75" customHeight="1">
      <c r="B92" t="s">
        <v>1407</v>
      </c>
    </row>
    <row r="93" spans="1:2" ht="15.75" customHeight="1">
      <c r="B93" t="s">
        <v>1408</v>
      </c>
    </row>
    <row r="94" spans="1:2" ht="15.75" customHeight="1">
      <c r="B94" t="s">
        <v>1409</v>
      </c>
    </row>
    <row r="95" spans="1:2" ht="15.75" customHeight="1">
      <c r="B95" t="s">
        <v>1410</v>
      </c>
    </row>
    <row r="96" spans="1:2" ht="15.75" customHeight="1">
      <c r="B96" t="s">
        <v>1411</v>
      </c>
    </row>
    <row r="97" spans="1:2" ht="15.75" customHeight="1">
      <c r="A97" t="s">
        <v>1412</v>
      </c>
      <c r="B97" t="s">
        <v>1317</v>
      </c>
    </row>
    <row r="98" spans="1:2" ht="15.75" customHeight="1">
      <c r="B98" t="s">
        <v>1413</v>
      </c>
    </row>
    <row r="99" spans="1:2" ht="15.75" customHeight="1">
      <c r="A99" t="s">
        <v>1414</v>
      </c>
      <c r="B99" t="s">
        <v>1317</v>
      </c>
    </row>
    <row r="100" spans="1:2" ht="15.75" customHeight="1">
      <c r="B100" t="s">
        <v>1415</v>
      </c>
    </row>
    <row r="101" spans="1:2" ht="15.75" customHeight="1">
      <c r="A101" t="s">
        <v>1416</v>
      </c>
      <c r="B101" t="s">
        <v>1317</v>
      </c>
    </row>
    <row r="102" spans="1:2" ht="15.75" customHeight="1">
      <c r="B102" t="s">
        <v>1417</v>
      </c>
    </row>
    <row r="103" spans="1:2" ht="15.75" customHeight="1">
      <c r="A103" t="s">
        <v>1418</v>
      </c>
      <c r="B103" t="s">
        <v>1317</v>
      </c>
    </row>
    <row r="104" spans="1:2" ht="15.75" customHeight="1">
      <c r="B104" t="s">
        <v>1419</v>
      </c>
    </row>
    <row r="105" spans="1:2" ht="15.75" customHeight="1">
      <c r="A105" t="s">
        <v>1420</v>
      </c>
      <c r="B105" t="s">
        <v>1317</v>
      </c>
    </row>
    <row r="106" spans="1:2" ht="15.75" customHeight="1">
      <c r="B106" t="s">
        <v>1421</v>
      </c>
    </row>
    <row r="107" spans="1:2" ht="15.75" customHeight="1">
      <c r="A107" t="s">
        <v>1422</v>
      </c>
      <c r="B107" t="s">
        <v>1317</v>
      </c>
    </row>
    <row r="108" spans="1:2" ht="15.75" customHeight="1">
      <c r="B108" t="s">
        <v>1423</v>
      </c>
    </row>
    <row r="109" spans="1:2" ht="15.75" customHeight="1">
      <c r="A109" t="s">
        <v>1424</v>
      </c>
      <c r="B109" t="s">
        <v>1317</v>
      </c>
    </row>
    <row r="110" spans="1:2" ht="15.75" customHeight="1">
      <c r="B110" t="s">
        <v>1425</v>
      </c>
    </row>
    <row r="111" spans="1:2" ht="15.75" customHeight="1">
      <c r="B111" t="s">
        <v>1426</v>
      </c>
    </row>
    <row r="112" spans="1:2" ht="15.75" customHeight="1">
      <c r="B112" t="s">
        <v>1427</v>
      </c>
    </row>
    <row r="113" spans="1:3" ht="15.75" customHeight="1">
      <c r="B113" t="s">
        <v>1428</v>
      </c>
    </row>
    <row r="114" spans="1:3" ht="15.75" customHeight="1">
      <c r="B114" t="s">
        <v>1429</v>
      </c>
    </row>
    <row r="115" spans="1:3" ht="15.75" customHeight="1">
      <c r="B115" t="s">
        <v>1430</v>
      </c>
    </row>
    <row r="116" spans="1:3" ht="15.75" customHeight="1">
      <c r="A116" t="s">
        <v>1431</v>
      </c>
      <c r="B116" t="s">
        <v>1317</v>
      </c>
      <c r="C116" t="s">
        <v>1317</v>
      </c>
    </row>
    <row r="117" spans="1:3" ht="15.75" customHeight="1">
      <c r="B117" t="s">
        <v>1432</v>
      </c>
    </row>
    <row r="118" spans="1:3" ht="15.75" customHeight="1">
      <c r="A118" t="s">
        <v>1433</v>
      </c>
      <c r="B118" t="s">
        <v>1317</v>
      </c>
    </row>
    <row r="119" spans="1:3" ht="15.75" customHeight="1">
      <c r="B119" t="s">
        <v>1434</v>
      </c>
    </row>
    <row r="120" spans="1:3" ht="15.75" customHeight="1">
      <c r="B120" t="s">
        <v>1435</v>
      </c>
    </row>
    <row r="121" spans="1:3" ht="15.75" customHeight="1">
      <c r="A121" t="s">
        <v>1436</v>
      </c>
      <c r="B121" t="s">
        <v>1317</v>
      </c>
    </row>
    <row r="122" spans="1:3" ht="15.75" customHeight="1">
      <c r="B122" t="s">
        <v>1437</v>
      </c>
    </row>
    <row r="123" spans="1:3" ht="15.75" customHeight="1">
      <c r="B123" t="s">
        <v>1438</v>
      </c>
    </row>
    <row r="124" spans="1:3" ht="15.75" customHeight="1">
      <c r="A124" t="s">
        <v>1439</v>
      </c>
      <c r="B124" t="s">
        <v>1317</v>
      </c>
    </row>
    <row r="125" spans="1:3" ht="15.75" customHeight="1">
      <c r="B125" t="s">
        <v>1440</v>
      </c>
    </row>
    <row r="126" spans="1:3" ht="15.75" customHeight="1">
      <c r="B126" t="s">
        <v>1441</v>
      </c>
    </row>
    <row r="127" spans="1:3" ht="15.75" customHeight="1">
      <c r="A127" t="s">
        <v>1442</v>
      </c>
      <c r="B127" t="s">
        <v>1317</v>
      </c>
    </row>
    <row r="128" spans="1:3" ht="15.75" customHeight="1">
      <c r="B128" t="s">
        <v>1443</v>
      </c>
    </row>
    <row r="129" spans="1:2" ht="15.75" customHeight="1">
      <c r="B129" t="s">
        <v>1444</v>
      </c>
    </row>
    <row r="130" spans="1:2" ht="15.75" customHeight="1">
      <c r="B130" t="s">
        <v>1445</v>
      </c>
    </row>
    <row r="131" spans="1:2" ht="15.75" customHeight="1">
      <c r="B131" t="s">
        <v>1446</v>
      </c>
    </row>
    <row r="132" spans="1:2" ht="15.75" customHeight="1">
      <c r="A132" t="s">
        <v>1447</v>
      </c>
      <c r="B132" t="s">
        <v>1317</v>
      </c>
    </row>
    <row r="133" spans="1:2" ht="15.75" customHeight="1">
      <c r="B133" t="s">
        <v>1448</v>
      </c>
    </row>
    <row r="134" spans="1:2" ht="15.75" customHeight="1">
      <c r="B134" t="s">
        <v>1449</v>
      </c>
    </row>
    <row r="135" spans="1:2" ht="15.75" customHeight="1">
      <c r="A135" t="s">
        <v>1450</v>
      </c>
      <c r="B135" t="s">
        <v>1317</v>
      </c>
    </row>
    <row r="136" spans="1:2" ht="15.75" customHeight="1">
      <c r="B136" t="s">
        <v>1451</v>
      </c>
    </row>
    <row r="137" spans="1:2" ht="15.75" customHeight="1">
      <c r="A137" t="s">
        <v>1452</v>
      </c>
      <c r="B137" t="s">
        <v>1317</v>
      </c>
    </row>
    <row r="138" spans="1:2" ht="15.75" customHeight="1">
      <c r="B138" t="s">
        <v>1453</v>
      </c>
    </row>
    <row r="139" spans="1:2" ht="15.75" customHeight="1">
      <c r="B139" t="s">
        <v>1454</v>
      </c>
    </row>
    <row r="140" spans="1:2" ht="15.75" customHeight="1">
      <c r="B140" t="s">
        <v>1455</v>
      </c>
    </row>
    <row r="141" spans="1:2" ht="15.75" customHeight="1">
      <c r="A141" t="s">
        <v>1456</v>
      </c>
      <c r="B141" t="s">
        <v>1317</v>
      </c>
    </row>
    <row r="142" spans="1:2" ht="15.75" customHeight="1">
      <c r="B142" t="s">
        <v>1457</v>
      </c>
    </row>
    <row r="143" spans="1:2" ht="15.75" customHeight="1">
      <c r="B143" t="s">
        <v>1458</v>
      </c>
    </row>
    <row r="144" spans="1:2" ht="15.75" customHeight="1">
      <c r="A144" t="s">
        <v>1459</v>
      </c>
      <c r="B144" t="s">
        <v>1317</v>
      </c>
    </row>
    <row r="145" spans="2:2" ht="15.75" customHeight="1">
      <c r="B145" t="s">
        <v>1460</v>
      </c>
    </row>
    <row r="146" spans="2:2" ht="15.75" customHeight="1">
      <c r="B146" t="s">
        <v>1461</v>
      </c>
    </row>
    <row r="147" spans="2:2" ht="15.75" customHeight="1">
      <c r="B147" t="s">
        <v>1462</v>
      </c>
    </row>
    <row r="148" spans="2:2" ht="15.75" customHeight="1">
      <c r="B148" t="s">
        <v>1463</v>
      </c>
    </row>
    <row r="149" spans="2:2" ht="15.75" customHeight="1">
      <c r="B149" t="s">
        <v>1464</v>
      </c>
    </row>
    <row r="150" spans="2:2" ht="15.75" customHeight="1">
      <c r="B150" t="s">
        <v>1465</v>
      </c>
    </row>
    <row r="151" spans="2:2" ht="15.75" customHeight="1">
      <c r="B151" t="s">
        <v>1466</v>
      </c>
    </row>
    <row r="152" spans="2:2" ht="15.75" customHeight="1">
      <c r="B152" t="s">
        <v>1467</v>
      </c>
    </row>
    <row r="153" spans="2:2" ht="15.75" customHeight="1">
      <c r="B153" t="s">
        <v>1468</v>
      </c>
    </row>
    <row r="154" spans="2:2" ht="15.75" customHeight="1">
      <c r="B154" t="s">
        <v>1469</v>
      </c>
    </row>
    <row r="155" spans="2:2" ht="15.75" customHeight="1">
      <c r="B155" t="s">
        <v>1470</v>
      </c>
    </row>
    <row r="156" spans="2:2" ht="15.75" customHeight="1">
      <c r="B156" t="s">
        <v>1471</v>
      </c>
    </row>
    <row r="157" spans="2:2" ht="15.75" customHeight="1">
      <c r="B157" t="s">
        <v>1472</v>
      </c>
    </row>
    <row r="158" spans="2:2" ht="15.75" customHeight="1">
      <c r="B158" t="s">
        <v>1473</v>
      </c>
    </row>
    <row r="159" spans="2:2" ht="15.75" customHeight="1">
      <c r="B159" t="s">
        <v>1474</v>
      </c>
    </row>
    <row r="160" spans="2:2" ht="15.75" customHeight="1">
      <c r="B160" t="s">
        <v>1475</v>
      </c>
    </row>
    <row r="161" spans="1:2" ht="15.75" customHeight="1">
      <c r="A161" t="s">
        <v>1476</v>
      </c>
      <c r="B161" t="s">
        <v>1317</v>
      </c>
    </row>
    <row r="162" spans="1:2" ht="15.75" customHeight="1">
      <c r="B162" t="s">
        <v>1477</v>
      </c>
    </row>
    <row r="163" spans="1:2" ht="15.75" customHeight="1">
      <c r="B163" t="s">
        <v>1478</v>
      </c>
    </row>
    <row r="164" spans="1:2" ht="15.75" customHeight="1">
      <c r="A164" t="s">
        <v>1479</v>
      </c>
      <c r="B164" t="s">
        <v>1317</v>
      </c>
    </row>
    <row r="165" spans="1:2" ht="15.75" customHeight="1">
      <c r="B165" t="s">
        <v>1480</v>
      </c>
    </row>
    <row r="166" spans="1:2" ht="15.75" customHeight="1">
      <c r="B166" t="s">
        <v>1481</v>
      </c>
    </row>
    <row r="167" spans="1:2" ht="15.75" customHeight="1">
      <c r="B167" t="s">
        <v>1482</v>
      </c>
    </row>
    <row r="168" spans="1:2" ht="15.75" customHeight="1">
      <c r="A168" t="s">
        <v>1483</v>
      </c>
      <c r="B168" t="s">
        <v>1317</v>
      </c>
    </row>
    <row r="169" spans="1:2" ht="15.75" customHeight="1">
      <c r="B169" t="s">
        <v>1484</v>
      </c>
    </row>
    <row r="170" spans="1:2" ht="15.75" customHeight="1">
      <c r="A170" t="s">
        <v>1485</v>
      </c>
      <c r="B170" t="s">
        <v>1317</v>
      </c>
    </row>
    <row r="171" spans="1:2" ht="15.75" customHeight="1">
      <c r="B171" t="s">
        <v>1486</v>
      </c>
    </row>
    <row r="172" spans="1:2" ht="15.75" customHeight="1">
      <c r="B172" t="s">
        <v>1487</v>
      </c>
    </row>
    <row r="173" spans="1:2" ht="15.75" customHeight="1">
      <c r="B173" t="s">
        <v>1488</v>
      </c>
    </row>
    <row r="174" spans="1:2" ht="15.75" customHeight="1">
      <c r="A174" t="s">
        <v>1489</v>
      </c>
      <c r="B174" t="s">
        <v>1317</v>
      </c>
    </row>
    <row r="175" spans="1:2" ht="15.75" customHeight="1">
      <c r="B175" t="s">
        <v>1490</v>
      </c>
    </row>
    <row r="176" spans="1:2" ht="15.75" customHeight="1">
      <c r="B176" t="s">
        <v>1491</v>
      </c>
    </row>
    <row r="177" spans="1:2" ht="15.75" customHeight="1">
      <c r="A177" t="s">
        <v>1492</v>
      </c>
      <c r="B177" t="s">
        <v>1317</v>
      </c>
    </row>
    <row r="178" spans="1:2" ht="15.75" customHeight="1">
      <c r="B178" t="s">
        <v>1493</v>
      </c>
    </row>
    <row r="179" spans="1:2" ht="15.75" customHeight="1">
      <c r="A179" t="s">
        <v>1494</v>
      </c>
      <c r="B179" t="s">
        <v>1317</v>
      </c>
    </row>
    <row r="180" spans="1:2" ht="15.75" customHeight="1">
      <c r="B180" t="s">
        <v>1495</v>
      </c>
    </row>
    <row r="181" spans="1:2" ht="15.75" customHeight="1">
      <c r="A181" t="s">
        <v>1496</v>
      </c>
      <c r="B181" t="s">
        <v>1317</v>
      </c>
    </row>
    <row r="182" spans="1:2" ht="15.75" customHeight="1">
      <c r="B182" t="s">
        <v>1497</v>
      </c>
    </row>
    <row r="183" spans="1:2" ht="15.75" customHeight="1">
      <c r="B183" t="s">
        <v>1498</v>
      </c>
    </row>
    <row r="184" spans="1:2" ht="15.75" customHeight="1">
      <c r="B184" t="s">
        <v>1499</v>
      </c>
    </row>
    <row r="185" spans="1:2" ht="15.75" customHeight="1">
      <c r="A185" t="s">
        <v>1500</v>
      </c>
      <c r="B185" t="s">
        <v>1317</v>
      </c>
    </row>
    <row r="186" spans="1:2" ht="15.75" customHeight="1">
      <c r="B186" t="s">
        <v>1501</v>
      </c>
    </row>
    <row r="187" spans="1:2" ht="15.75" customHeight="1">
      <c r="B187" t="s">
        <v>1502</v>
      </c>
    </row>
    <row r="188" spans="1:2" ht="15.75" customHeight="1">
      <c r="B188" t="s">
        <v>1503</v>
      </c>
    </row>
    <row r="189" spans="1:2" ht="15.75" customHeight="1">
      <c r="B189" t="s">
        <v>1504</v>
      </c>
    </row>
    <row r="190" spans="1:2" ht="15.75" customHeight="1">
      <c r="B190" t="s">
        <v>1505</v>
      </c>
    </row>
    <row r="191" spans="1:2" ht="15.75" customHeight="1">
      <c r="A191" t="s">
        <v>1506</v>
      </c>
      <c r="B191" t="s">
        <v>1317</v>
      </c>
    </row>
    <row r="192" spans="1:2" ht="15.75" customHeight="1">
      <c r="B192" t="s">
        <v>1507</v>
      </c>
    </row>
    <row r="193" spans="1:2" ht="15.75" customHeight="1">
      <c r="B193" t="s">
        <v>1508</v>
      </c>
    </row>
    <row r="194" spans="1:2" ht="15.75" customHeight="1">
      <c r="A194" t="s">
        <v>1509</v>
      </c>
      <c r="B194" t="s">
        <v>1317</v>
      </c>
    </row>
    <row r="195" spans="1:2" ht="15.75" customHeight="1">
      <c r="B195" t="s">
        <v>1510</v>
      </c>
    </row>
    <row r="196" spans="1:2" ht="15.75" customHeight="1">
      <c r="B196" t="s">
        <v>1511</v>
      </c>
    </row>
    <row r="197" spans="1:2" ht="15.75" customHeight="1">
      <c r="A197" t="s">
        <v>1512</v>
      </c>
      <c r="B197" t="s">
        <v>1317</v>
      </c>
    </row>
    <row r="198" spans="1:2" ht="15.75" customHeight="1">
      <c r="B198" t="s">
        <v>1513</v>
      </c>
    </row>
    <row r="199" spans="1:2" ht="15.75" customHeight="1">
      <c r="B199" t="s">
        <v>1514</v>
      </c>
    </row>
    <row r="200" spans="1:2" ht="15.75" customHeight="1">
      <c r="B200" t="s">
        <v>1515</v>
      </c>
    </row>
    <row r="201" spans="1:2" ht="15.75" customHeight="1">
      <c r="B201" t="s">
        <v>1516</v>
      </c>
    </row>
    <row r="202" spans="1:2" ht="15.75" customHeight="1">
      <c r="B202" t="s">
        <v>1517</v>
      </c>
    </row>
    <row r="203" spans="1:2" ht="15.75" customHeight="1">
      <c r="B203" t="s">
        <v>1518</v>
      </c>
    </row>
    <row r="204" spans="1:2" ht="15.75" customHeight="1">
      <c r="A204" t="s">
        <v>1519</v>
      </c>
      <c r="B204" t="s">
        <v>1317</v>
      </c>
    </row>
    <row r="205" spans="1:2" ht="15.75" customHeight="1">
      <c r="B205" t="s">
        <v>1520</v>
      </c>
    </row>
    <row r="206" spans="1:2" ht="15.75" customHeight="1">
      <c r="A206" t="s">
        <v>1521</v>
      </c>
      <c r="B206" t="s">
        <v>1317</v>
      </c>
    </row>
    <row r="207" spans="1:2" ht="15.75" customHeight="1">
      <c r="B207" t="s">
        <v>1522</v>
      </c>
    </row>
    <row r="208" spans="1:2" ht="15.75" customHeight="1">
      <c r="A208" t="s">
        <v>1523</v>
      </c>
      <c r="B208" t="s">
        <v>1317</v>
      </c>
    </row>
    <row r="209" spans="1:2" ht="15.75" customHeight="1">
      <c r="B209" t="s">
        <v>1524</v>
      </c>
    </row>
    <row r="210" spans="1:2" ht="15.75" customHeight="1">
      <c r="A210" t="s">
        <v>1525</v>
      </c>
      <c r="B210" t="s">
        <v>1317</v>
      </c>
    </row>
    <row r="211" spans="1:2" ht="15.75" customHeight="1">
      <c r="B211" t="s">
        <v>1526</v>
      </c>
    </row>
    <row r="212" spans="1:2" ht="15.75" customHeight="1">
      <c r="A212" t="s">
        <v>1527</v>
      </c>
      <c r="B212" t="s">
        <v>1317</v>
      </c>
    </row>
    <row r="213" spans="1:2" ht="15.75" customHeight="1">
      <c r="B213" t="s">
        <v>1528</v>
      </c>
    </row>
    <row r="214" spans="1:2" ht="15.75" customHeight="1">
      <c r="B214" t="s">
        <v>1529</v>
      </c>
    </row>
    <row r="215" spans="1:2" ht="15.75" customHeight="1">
      <c r="B215" t="s">
        <v>1530</v>
      </c>
    </row>
    <row r="216" spans="1:2" ht="15.75" customHeight="1">
      <c r="B216" t="s">
        <v>1531</v>
      </c>
    </row>
    <row r="217" spans="1:2" ht="15.75" customHeight="1">
      <c r="B217" t="s">
        <v>1532</v>
      </c>
    </row>
    <row r="218" spans="1:2" ht="15.75" customHeight="1">
      <c r="B218" t="s">
        <v>1533</v>
      </c>
    </row>
    <row r="219" spans="1:2" ht="15.75" customHeight="1">
      <c r="A219" t="s">
        <v>1534</v>
      </c>
      <c r="B219" t="s">
        <v>1317</v>
      </c>
    </row>
    <row r="220" spans="1:2" ht="15.75" customHeight="1">
      <c r="B220" t="s">
        <v>1535</v>
      </c>
    </row>
    <row r="221" spans="1:2" ht="15.75" customHeight="1">
      <c r="B221" t="s">
        <v>1536</v>
      </c>
    </row>
    <row r="222" spans="1:2" ht="15.75" customHeight="1">
      <c r="A222" t="s">
        <v>1537</v>
      </c>
      <c r="B222" t="s">
        <v>1317</v>
      </c>
    </row>
    <row r="223" spans="1:2" ht="15.75" customHeight="1">
      <c r="B223" t="s">
        <v>1538</v>
      </c>
    </row>
    <row r="224" spans="1:2" ht="15.75" customHeight="1">
      <c r="A224" t="s">
        <v>1539</v>
      </c>
      <c r="B224" t="s">
        <v>1317</v>
      </c>
    </row>
    <row r="225" spans="1:2" ht="15.75" customHeight="1">
      <c r="B225" t="s">
        <v>1540</v>
      </c>
    </row>
    <row r="226" spans="1:2" ht="15.75" customHeight="1">
      <c r="B226" t="s">
        <v>1541</v>
      </c>
    </row>
    <row r="227" spans="1:2" ht="15.75" customHeight="1">
      <c r="A227" t="s">
        <v>1542</v>
      </c>
      <c r="B227" t="s">
        <v>1317</v>
      </c>
    </row>
    <row r="228" spans="1:2" ht="15.75" customHeight="1">
      <c r="B228" t="s">
        <v>1543</v>
      </c>
    </row>
    <row r="229" spans="1:2" ht="15.75" customHeight="1">
      <c r="A229" t="s">
        <v>1544</v>
      </c>
      <c r="B229" t="s">
        <v>1317</v>
      </c>
    </row>
    <row r="230" spans="1:2" ht="15.75" customHeight="1">
      <c r="B230" t="s">
        <v>1545</v>
      </c>
    </row>
    <row r="231" spans="1:2" ht="15.75" customHeight="1">
      <c r="A231" t="s">
        <v>1546</v>
      </c>
      <c r="B231" t="s">
        <v>1546</v>
      </c>
    </row>
    <row r="232" spans="1:2" ht="15.75" customHeight="1">
      <c r="B232" t="s">
        <v>1547</v>
      </c>
    </row>
    <row r="233" spans="1:2" ht="15.75" customHeight="1">
      <c r="B233" t="s">
        <v>1548</v>
      </c>
    </row>
    <row r="234" spans="1:2" ht="15.75" customHeight="1">
      <c r="A234" t="s">
        <v>1549</v>
      </c>
      <c r="B234" t="s">
        <v>1317</v>
      </c>
    </row>
    <row r="235" spans="1:2" ht="15.75" customHeight="1">
      <c r="B235" t="s">
        <v>1550</v>
      </c>
    </row>
    <row r="236" spans="1:2" ht="15.75" customHeight="1">
      <c r="B236" t="s">
        <v>1551</v>
      </c>
    </row>
    <row r="237" spans="1:2" ht="15.75" customHeight="1">
      <c r="A237" t="s">
        <v>1552</v>
      </c>
      <c r="B237" t="s">
        <v>1317</v>
      </c>
    </row>
    <row r="238" spans="1:2" ht="15.75" customHeight="1">
      <c r="B238" t="s">
        <v>1553</v>
      </c>
    </row>
    <row r="239" spans="1:2" ht="15.75" customHeight="1">
      <c r="B239" t="s">
        <v>1554</v>
      </c>
    </row>
    <row r="240" spans="1:2" ht="15.75" customHeight="1">
      <c r="B240" t="s">
        <v>1555</v>
      </c>
    </row>
    <row r="241" spans="1:2" ht="15.75" customHeight="1">
      <c r="B241" t="s">
        <v>1556</v>
      </c>
    </row>
    <row r="242" spans="1:2" ht="15.75" customHeight="1">
      <c r="B242" t="s">
        <v>1557</v>
      </c>
    </row>
    <row r="243" spans="1:2" ht="15.75" customHeight="1">
      <c r="B243" t="s">
        <v>1558</v>
      </c>
    </row>
    <row r="244" spans="1:2" ht="15.75" customHeight="1">
      <c r="B244" t="s">
        <v>1559</v>
      </c>
    </row>
    <row r="245" spans="1:2" ht="15.75" customHeight="1">
      <c r="B245" t="s">
        <v>1560</v>
      </c>
    </row>
    <row r="246" spans="1:2" ht="15.75" customHeight="1">
      <c r="B246" t="s">
        <v>1561</v>
      </c>
    </row>
    <row r="247" spans="1:2" ht="15.75" customHeight="1">
      <c r="A247" t="s">
        <v>1562</v>
      </c>
      <c r="B247" t="s">
        <v>1317</v>
      </c>
    </row>
    <row r="248" spans="1:2" ht="15.75" customHeight="1">
      <c r="B248" t="s">
        <v>1563</v>
      </c>
    </row>
    <row r="249" spans="1:2" ht="15.75" customHeight="1">
      <c r="A249" t="s">
        <v>1564</v>
      </c>
      <c r="B249" t="s">
        <v>1317</v>
      </c>
    </row>
    <row r="250" spans="1:2" ht="15.75" customHeight="1">
      <c r="B250" t="s">
        <v>1565</v>
      </c>
    </row>
    <row r="251" spans="1:2" ht="15.75" customHeight="1">
      <c r="B251" t="s">
        <v>1566</v>
      </c>
    </row>
    <row r="252" spans="1:2" ht="15.75" customHeight="1">
      <c r="A252" t="s">
        <v>1567</v>
      </c>
      <c r="B252" t="s">
        <v>1317</v>
      </c>
    </row>
    <row r="253" spans="1:2" ht="15.75" customHeight="1">
      <c r="B253" t="s">
        <v>1568</v>
      </c>
    </row>
    <row r="254" spans="1:2" ht="15.75" customHeight="1">
      <c r="A254" t="s">
        <v>1569</v>
      </c>
      <c r="B254" t="s">
        <v>1317</v>
      </c>
    </row>
    <row r="255" spans="1:2" ht="15.75" customHeight="1">
      <c r="B255" t="s">
        <v>1570</v>
      </c>
    </row>
    <row r="256" spans="1:2" ht="15.75" customHeight="1">
      <c r="A256" t="s">
        <v>1571</v>
      </c>
      <c r="B256" t="s">
        <v>1317</v>
      </c>
    </row>
    <row r="257" spans="1:2" ht="15.75" customHeight="1">
      <c r="B257" t="s">
        <v>1572</v>
      </c>
    </row>
    <row r="258" spans="1:2" ht="15.75" customHeight="1">
      <c r="A258" t="s">
        <v>1573</v>
      </c>
      <c r="B258" t="s">
        <v>1317</v>
      </c>
    </row>
    <row r="259" spans="1:2" ht="15.75" customHeight="1">
      <c r="B259" t="s">
        <v>1574</v>
      </c>
    </row>
    <row r="260" spans="1:2" ht="15.75" customHeight="1">
      <c r="A260" t="s">
        <v>1575</v>
      </c>
      <c r="B260" t="s">
        <v>1317</v>
      </c>
    </row>
    <row r="261" spans="1:2" ht="15.75" customHeight="1">
      <c r="B261" t="s">
        <v>1576</v>
      </c>
    </row>
    <row r="262" spans="1:2" ht="15.75" customHeight="1">
      <c r="A262" t="s">
        <v>1577</v>
      </c>
      <c r="B262" t="s">
        <v>1317</v>
      </c>
    </row>
    <row r="263" spans="1:2" ht="15.75" customHeight="1">
      <c r="B263" t="s">
        <v>1578</v>
      </c>
    </row>
    <row r="264" spans="1:2" ht="15.75" customHeight="1">
      <c r="B264" t="s">
        <v>1579</v>
      </c>
    </row>
    <row r="265" spans="1:2" ht="15.75" customHeight="1">
      <c r="B265" t="s">
        <v>1580</v>
      </c>
    </row>
    <row r="266" spans="1:2" ht="15.75" customHeight="1">
      <c r="A266" t="s">
        <v>1581</v>
      </c>
      <c r="B266" t="s">
        <v>1317</v>
      </c>
    </row>
    <row r="267" spans="1:2" ht="15.75" customHeight="1">
      <c r="B267" t="s">
        <v>1582</v>
      </c>
    </row>
    <row r="268" spans="1:2" ht="15.75" customHeight="1">
      <c r="A268" t="s">
        <v>1583</v>
      </c>
      <c r="B268" t="s">
        <v>1317</v>
      </c>
    </row>
    <row r="269" spans="1:2" ht="15.75" customHeight="1">
      <c r="B269" t="s">
        <v>1584</v>
      </c>
    </row>
    <row r="270" spans="1:2" ht="15.75" customHeight="1">
      <c r="A270" t="s">
        <v>1585</v>
      </c>
      <c r="B270" t="s">
        <v>1317</v>
      </c>
    </row>
    <row r="271" spans="1:2" ht="15.75" customHeight="1">
      <c r="B271" t="s">
        <v>1586</v>
      </c>
    </row>
    <row r="272" spans="1:2" ht="15.75" customHeight="1">
      <c r="B272" t="s">
        <v>1587</v>
      </c>
    </row>
    <row r="273" spans="1:2" ht="15.75" customHeight="1">
      <c r="A273" t="s">
        <v>1588</v>
      </c>
      <c r="B273" t="s">
        <v>1317</v>
      </c>
    </row>
    <row r="274" spans="1:2" ht="15.75" customHeight="1">
      <c r="B274" t="s">
        <v>1589</v>
      </c>
    </row>
    <row r="275" spans="1:2" ht="15.75" customHeight="1">
      <c r="B275" t="s">
        <v>1590</v>
      </c>
    </row>
    <row r="276" spans="1:2" ht="15.75" customHeight="1">
      <c r="A276" t="s">
        <v>1591</v>
      </c>
      <c r="B276" t="s">
        <v>1317</v>
      </c>
    </row>
    <row r="277" spans="1:2" ht="15.75" customHeight="1">
      <c r="B277" t="s">
        <v>1592</v>
      </c>
    </row>
    <row r="278" spans="1:2" ht="15.75" customHeight="1">
      <c r="A278" t="s">
        <v>1593</v>
      </c>
      <c r="B278" t="s">
        <v>1317</v>
      </c>
    </row>
    <row r="279" spans="1:2" ht="15.75" customHeight="1">
      <c r="B279" t="s">
        <v>1594</v>
      </c>
    </row>
    <row r="280" spans="1:2" ht="15.75" customHeight="1">
      <c r="A280" t="s">
        <v>1595</v>
      </c>
      <c r="B280" t="s">
        <v>1317</v>
      </c>
    </row>
    <row r="281" spans="1:2" ht="15.75" customHeight="1">
      <c r="B281" t="s">
        <v>1596</v>
      </c>
    </row>
    <row r="282" spans="1:2" ht="15.75" customHeight="1">
      <c r="A282" t="s">
        <v>1597</v>
      </c>
      <c r="B282" t="s">
        <v>1317</v>
      </c>
    </row>
    <row r="283" spans="1:2" ht="15.75" customHeight="1">
      <c r="B283" t="s">
        <v>1598</v>
      </c>
    </row>
    <row r="284" spans="1:2" ht="15.75" customHeight="1">
      <c r="A284" t="s">
        <v>1599</v>
      </c>
      <c r="B284" t="s">
        <v>1317</v>
      </c>
    </row>
    <row r="285" spans="1:2" ht="15.75" customHeight="1">
      <c r="B285" t="s">
        <v>1600</v>
      </c>
    </row>
    <row r="286" spans="1:2" ht="15.75" customHeight="1">
      <c r="A286" t="s">
        <v>1601</v>
      </c>
      <c r="B286" t="s">
        <v>1317</v>
      </c>
    </row>
    <row r="287" spans="1:2" ht="15.75" customHeight="1">
      <c r="B287" t="s">
        <v>1602</v>
      </c>
    </row>
    <row r="288" spans="1:2" ht="15.75" customHeight="1">
      <c r="A288" t="s">
        <v>1603</v>
      </c>
      <c r="B288" t="s">
        <v>1317</v>
      </c>
    </row>
    <row r="289" spans="2:2" ht="15.75" customHeight="1">
      <c r="B289" t="s">
        <v>1604</v>
      </c>
    </row>
    <row r="290" spans="2:2" ht="15.75" customHeight="1">
      <c r="B290" t="s">
        <v>1605</v>
      </c>
    </row>
    <row r="291" spans="2:2" ht="15.75" customHeight="1">
      <c r="B291" t="s">
        <v>1606</v>
      </c>
    </row>
    <row r="292" spans="2:2" ht="15.75" customHeight="1">
      <c r="B292" t="s">
        <v>1607</v>
      </c>
    </row>
    <row r="293" spans="2:2" ht="15.75" customHeight="1">
      <c r="B293" t="s">
        <v>1608</v>
      </c>
    </row>
    <row r="294" spans="2:2" ht="15.75" customHeight="1">
      <c r="B294" t="s">
        <v>1609</v>
      </c>
    </row>
    <row r="295" spans="2:2" ht="15.75" customHeight="1">
      <c r="B295" t="s">
        <v>1610</v>
      </c>
    </row>
    <row r="296" spans="2:2" ht="15.75" customHeight="1">
      <c r="B296" t="s">
        <v>1611</v>
      </c>
    </row>
    <row r="297" spans="2:2" ht="15.75" customHeight="1">
      <c r="B297" t="s">
        <v>1612</v>
      </c>
    </row>
    <row r="298" spans="2:2" ht="15.75" customHeight="1">
      <c r="B298" t="s">
        <v>1613</v>
      </c>
    </row>
    <row r="299" spans="2:2" ht="15.75" customHeight="1">
      <c r="B299" t="s">
        <v>1614</v>
      </c>
    </row>
    <row r="300" spans="2:2" ht="15.75" customHeight="1">
      <c r="B300" t="s">
        <v>1615</v>
      </c>
    </row>
    <row r="301" spans="2:2" ht="15.75" customHeight="1">
      <c r="B301" t="s">
        <v>1616</v>
      </c>
    </row>
    <row r="302" spans="2:2" ht="15.75" customHeight="1">
      <c r="B302" t="s">
        <v>1617</v>
      </c>
    </row>
    <row r="303" spans="2:2" ht="15.75" customHeight="1">
      <c r="B303" t="s">
        <v>1618</v>
      </c>
    </row>
    <row r="304" spans="2:2" ht="15.75" customHeight="1">
      <c r="B304" t="s">
        <v>1619</v>
      </c>
    </row>
    <row r="305" spans="2:2" ht="15.75" customHeight="1">
      <c r="B305" t="s">
        <v>1620</v>
      </c>
    </row>
    <row r="306" spans="2:2" ht="15.75" customHeight="1">
      <c r="B306" t="s">
        <v>1621</v>
      </c>
    </row>
    <row r="307" spans="2:2" ht="15.75" customHeight="1">
      <c r="B307" t="s">
        <v>1622</v>
      </c>
    </row>
    <row r="308" spans="2:2" ht="15.75" customHeight="1">
      <c r="B308" t="s">
        <v>1623</v>
      </c>
    </row>
    <row r="309" spans="2:2" ht="15.75" customHeight="1">
      <c r="B309" t="s">
        <v>1624</v>
      </c>
    </row>
    <row r="310" spans="2:2" ht="15.75" customHeight="1">
      <c r="B310" t="s">
        <v>1625</v>
      </c>
    </row>
    <row r="311" spans="2:2" ht="15.75" customHeight="1">
      <c r="B311" t="s">
        <v>1626</v>
      </c>
    </row>
    <row r="312" spans="2:2" ht="15.75" customHeight="1">
      <c r="B312" t="s">
        <v>1627</v>
      </c>
    </row>
    <row r="313" spans="2:2" ht="15.75" customHeight="1">
      <c r="B313" t="s">
        <v>1628</v>
      </c>
    </row>
    <row r="314" spans="2:2" ht="15.75" customHeight="1">
      <c r="B314" t="s">
        <v>1629</v>
      </c>
    </row>
    <row r="315" spans="2:2" ht="15.75" customHeight="1">
      <c r="B315" t="s">
        <v>1630</v>
      </c>
    </row>
    <row r="316" spans="2:2" ht="15.75" customHeight="1">
      <c r="B316" t="s">
        <v>1631</v>
      </c>
    </row>
    <row r="317" spans="2:2" ht="15.75" customHeight="1">
      <c r="B317" t="s">
        <v>1632</v>
      </c>
    </row>
    <row r="318" spans="2:2" ht="15.75" customHeight="1">
      <c r="B318" t="s">
        <v>1633</v>
      </c>
    </row>
    <row r="319" spans="2:2" ht="15.75" customHeight="1">
      <c r="B319" t="s">
        <v>1634</v>
      </c>
    </row>
    <row r="320" spans="2:2" ht="15.75" customHeight="1">
      <c r="B320" t="s">
        <v>1635</v>
      </c>
    </row>
    <row r="321" spans="2:2" ht="15.75" customHeight="1">
      <c r="B321" t="s">
        <v>1636</v>
      </c>
    </row>
    <row r="322" spans="2:2" ht="15.75" customHeight="1">
      <c r="B322" t="s">
        <v>1637</v>
      </c>
    </row>
    <row r="323" spans="2:2" ht="15.75" customHeight="1">
      <c r="B323" t="s">
        <v>1638</v>
      </c>
    </row>
    <row r="324" spans="2:2" ht="15.75" customHeight="1">
      <c r="B324" t="s">
        <v>1639</v>
      </c>
    </row>
    <row r="325" spans="2:2" ht="15.75" customHeight="1">
      <c r="B325" t="s">
        <v>1640</v>
      </c>
    </row>
    <row r="326" spans="2:2" ht="15.75" customHeight="1">
      <c r="B326" t="s">
        <v>1641</v>
      </c>
    </row>
    <row r="327" spans="2:2" ht="15.75" customHeight="1">
      <c r="B327" t="s">
        <v>1642</v>
      </c>
    </row>
    <row r="328" spans="2:2" ht="15.75" customHeight="1">
      <c r="B328" t="s">
        <v>1643</v>
      </c>
    </row>
    <row r="329" spans="2:2" ht="15.75" customHeight="1">
      <c r="B329" t="s">
        <v>1644</v>
      </c>
    </row>
    <row r="330" spans="2:2" ht="15.75" customHeight="1">
      <c r="B330" t="s">
        <v>1645</v>
      </c>
    </row>
    <row r="331" spans="2:2" ht="15.75" customHeight="1">
      <c r="B331" t="s">
        <v>1646</v>
      </c>
    </row>
    <row r="332" spans="2:2" ht="15.75" customHeight="1">
      <c r="B332" t="s">
        <v>1647</v>
      </c>
    </row>
    <row r="333" spans="2:2" ht="15.75" customHeight="1">
      <c r="B333" t="s">
        <v>1648</v>
      </c>
    </row>
    <row r="334" spans="2:2" ht="15.75" customHeight="1">
      <c r="B334" t="s">
        <v>1649</v>
      </c>
    </row>
    <row r="335" spans="2:2" ht="15.75" customHeight="1">
      <c r="B335" t="s">
        <v>1650</v>
      </c>
    </row>
    <row r="336" spans="2:2" ht="15.75" customHeight="1">
      <c r="B336" t="s">
        <v>1651</v>
      </c>
    </row>
  </sheetData>
  <sheetProtection password="DE74" sheet="1" objects="1" scenarios="1" selectLockedCells="1" selectUnlockedCell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2:C318"/>
  <sheetViews>
    <sheetView tabSelected="1" workbookViewId="0">
      <selection activeCell="B1" sqref="B1:B1048576"/>
    </sheetView>
  </sheetViews>
  <sheetFormatPr defaultRowHeight="15"/>
  <cols>
    <col min="1" max="1" width="39.5703125" style="12" customWidth="1"/>
    <col min="2" max="2" width="44.5703125" style="12" bestFit="1" customWidth="1"/>
    <col min="3" max="3" width="17.5703125" style="12" customWidth="1"/>
    <col min="4" max="9" width="0" style="12" hidden="1" customWidth="1"/>
    <col min="10" max="16384" width="9.140625" style="12"/>
  </cols>
  <sheetData>
    <row r="2" spans="1:3" s="8" customFormat="1" ht="20.25">
      <c r="A2" s="7" t="s">
        <v>1311</v>
      </c>
    </row>
    <row r="3" spans="1:3" s="8" customFormat="1" ht="20.25">
      <c r="A3" s="7" t="s">
        <v>1312</v>
      </c>
    </row>
    <row r="4" spans="1:3" s="8" customFormat="1" ht="20.25">
      <c r="A4" s="7" t="s">
        <v>1313</v>
      </c>
    </row>
    <row r="8" spans="1:3" s="25" customFormat="1">
      <c r="A8" s="23" t="s">
        <v>0</v>
      </c>
      <c r="B8" s="23" t="s">
        <v>2</v>
      </c>
    </row>
    <row r="9" spans="1:3" s="10" customFormat="1"/>
    <row r="10" spans="1:3" ht="6" customHeight="1">
      <c r="A10" s="11"/>
      <c r="B10" s="11"/>
      <c r="C10" s="11"/>
    </row>
    <row r="11" spans="1:3">
      <c r="A11" s="22" t="s">
        <v>671</v>
      </c>
      <c r="B11" s="22" t="s">
        <v>1310</v>
      </c>
      <c r="C11" s="22" t="s">
        <v>1</v>
      </c>
    </row>
    <row r="12" spans="1:3">
      <c r="A12" s="13" t="s">
        <v>1306</v>
      </c>
      <c r="B12" s="16" t="s">
        <v>969</v>
      </c>
      <c r="C12" s="16" t="s">
        <v>300</v>
      </c>
    </row>
    <row r="13" spans="1:3">
      <c r="A13" s="13"/>
      <c r="B13" s="16" t="s">
        <v>747</v>
      </c>
      <c r="C13" s="16" t="s">
        <v>78</v>
      </c>
    </row>
    <row r="14" spans="1:3">
      <c r="A14" s="13"/>
      <c r="B14" s="16" t="s">
        <v>748</v>
      </c>
      <c r="C14" s="16" t="s">
        <v>79</v>
      </c>
    </row>
    <row r="15" spans="1:3">
      <c r="A15" s="13"/>
      <c r="B15" s="16" t="s">
        <v>749</v>
      </c>
      <c r="C15" s="16" t="s">
        <v>2076</v>
      </c>
    </row>
    <row r="16" spans="1:3">
      <c r="A16" s="13"/>
      <c r="B16" s="16" t="s">
        <v>750</v>
      </c>
      <c r="C16" s="16" t="s">
        <v>80</v>
      </c>
    </row>
    <row r="17" spans="1:3">
      <c r="A17" s="13"/>
      <c r="B17" s="16" t="s">
        <v>977</v>
      </c>
      <c r="C17" s="16" t="s">
        <v>308</v>
      </c>
    </row>
    <row r="18" spans="1:3">
      <c r="A18" s="13"/>
      <c r="B18" s="16" t="s">
        <v>945</v>
      </c>
      <c r="C18" s="16" t="s">
        <v>276</v>
      </c>
    </row>
    <row r="19" spans="1:3">
      <c r="A19" s="13"/>
      <c r="B19" s="16" t="s">
        <v>704</v>
      </c>
      <c r="C19" s="16" t="s">
        <v>35</v>
      </c>
    </row>
    <row r="20" spans="1:3">
      <c r="A20" s="13"/>
      <c r="B20" s="16" t="s">
        <v>733</v>
      </c>
      <c r="C20" s="16" t="s">
        <v>64</v>
      </c>
    </row>
    <row r="21" spans="1:3">
      <c r="A21" s="13"/>
      <c r="B21" s="16" t="s">
        <v>734</v>
      </c>
      <c r="C21" s="16" t="s">
        <v>65</v>
      </c>
    </row>
    <row r="22" spans="1:3">
      <c r="A22" s="13"/>
      <c r="B22" s="16" t="s">
        <v>703</v>
      </c>
      <c r="C22" s="16" t="s">
        <v>34</v>
      </c>
    </row>
    <row r="23" spans="1:3">
      <c r="A23" s="13"/>
      <c r="B23" s="16" t="s">
        <v>705</v>
      </c>
      <c r="C23" s="16" t="s">
        <v>36</v>
      </c>
    </row>
    <row r="24" spans="1:3">
      <c r="A24" s="13"/>
      <c r="B24" s="16" t="s">
        <v>706</v>
      </c>
      <c r="C24" s="16" t="s">
        <v>37</v>
      </c>
    </row>
    <row r="25" spans="1:3">
      <c r="A25" s="13"/>
      <c r="B25" s="16" t="s">
        <v>707</v>
      </c>
      <c r="C25" s="16" t="s">
        <v>38</v>
      </c>
    </row>
    <row r="26" spans="1:3">
      <c r="A26" s="13"/>
      <c r="B26" s="16" t="s">
        <v>946</v>
      </c>
      <c r="C26" s="16" t="s">
        <v>277</v>
      </c>
    </row>
    <row r="27" spans="1:3">
      <c r="A27" s="13"/>
      <c r="B27" s="16" t="s">
        <v>745</v>
      </c>
      <c r="C27" s="16" t="s">
        <v>76</v>
      </c>
    </row>
    <row r="28" spans="1:3">
      <c r="A28" s="13"/>
      <c r="B28" s="16" t="s">
        <v>746</v>
      </c>
      <c r="C28" s="16" t="s">
        <v>77</v>
      </c>
    </row>
    <row r="29" spans="1:3">
      <c r="A29" s="13"/>
      <c r="B29" s="16" t="s">
        <v>725</v>
      </c>
      <c r="C29" s="16" t="s">
        <v>56</v>
      </c>
    </row>
    <row r="30" spans="1:3">
      <c r="A30" s="13"/>
      <c r="B30" s="16" t="s">
        <v>726</v>
      </c>
      <c r="C30" s="16" t="s">
        <v>57</v>
      </c>
    </row>
    <row r="31" spans="1:3">
      <c r="A31" s="13"/>
      <c r="B31" s="16" t="s">
        <v>862</v>
      </c>
      <c r="C31" s="16" t="s">
        <v>192</v>
      </c>
    </row>
    <row r="32" spans="1:3">
      <c r="A32" s="13"/>
      <c r="B32" s="16" t="s">
        <v>776</v>
      </c>
      <c r="C32" s="16" t="s">
        <v>106</v>
      </c>
    </row>
    <row r="33" spans="1:3">
      <c r="A33" s="13"/>
      <c r="B33" s="16" t="s">
        <v>907</v>
      </c>
      <c r="C33" s="16" t="s">
        <v>237</v>
      </c>
    </row>
    <row r="34" spans="1:3">
      <c r="A34" s="13"/>
      <c r="B34" s="16" t="s">
        <v>917</v>
      </c>
      <c r="C34" s="16" t="s">
        <v>247</v>
      </c>
    </row>
    <row r="35" spans="1:3">
      <c r="A35" s="13"/>
      <c r="B35" s="16" t="s">
        <v>974</v>
      </c>
      <c r="C35" s="16" t="s">
        <v>305</v>
      </c>
    </row>
    <row r="36" spans="1:3">
      <c r="A36" s="13"/>
      <c r="B36" s="16" t="s">
        <v>975</v>
      </c>
      <c r="C36" s="16" t="s">
        <v>306</v>
      </c>
    </row>
    <row r="37" spans="1:3">
      <c r="A37" s="13"/>
      <c r="B37" s="16" t="s">
        <v>743</v>
      </c>
      <c r="C37" s="16" t="s">
        <v>74</v>
      </c>
    </row>
    <row r="38" spans="1:3">
      <c r="A38" s="13"/>
      <c r="B38" s="16" t="s">
        <v>721</v>
      </c>
      <c r="C38" s="16" t="s">
        <v>52</v>
      </c>
    </row>
    <row r="39" spans="1:3">
      <c r="A39" s="13"/>
      <c r="B39" s="16" t="s">
        <v>691</v>
      </c>
      <c r="C39" s="16" t="s">
        <v>22</v>
      </c>
    </row>
    <row r="40" spans="1:3">
      <c r="A40" s="13"/>
      <c r="B40" s="16" t="s">
        <v>774</v>
      </c>
      <c r="C40" s="16" t="s">
        <v>104</v>
      </c>
    </row>
    <row r="41" spans="1:3">
      <c r="A41" s="13"/>
      <c r="B41" s="16" t="s">
        <v>893</v>
      </c>
      <c r="C41" s="16" t="s">
        <v>223</v>
      </c>
    </row>
    <row r="42" spans="1:3">
      <c r="A42" s="13"/>
      <c r="B42" s="16" t="s">
        <v>777</v>
      </c>
      <c r="C42" s="16" t="s">
        <v>107</v>
      </c>
    </row>
    <row r="43" spans="1:3">
      <c r="A43" s="13"/>
      <c r="B43" s="16" t="s">
        <v>894</v>
      </c>
      <c r="C43" s="16" t="s">
        <v>224</v>
      </c>
    </row>
    <row r="44" spans="1:3">
      <c r="A44" s="13"/>
      <c r="B44" s="16" t="s">
        <v>783</v>
      </c>
      <c r="C44" s="16" t="s">
        <v>113</v>
      </c>
    </row>
    <row r="45" spans="1:3">
      <c r="A45" s="13"/>
      <c r="B45" s="16" t="s">
        <v>784</v>
      </c>
      <c r="C45" s="16" t="s">
        <v>114</v>
      </c>
    </row>
    <row r="46" spans="1:3">
      <c r="A46" s="13"/>
      <c r="B46" s="16" t="s">
        <v>939</v>
      </c>
      <c r="C46" s="16" t="s">
        <v>269</v>
      </c>
    </row>
    <row r="47" spans="1:3">
      <c r="A47" s="13"/>
      <c r="B47" s="16" t="s">
        <v>778</v>
      </c>
      <c r="C47" s="16" t="s">
        <v>108</v>
      </c>
    </row>
    <row r="48" spans="1:3">
      <c r="A48" s="13"/>
      <c r="B48" s="16" t="s">
        <v>779</v>
      </c>
      <c r="C48" s="16" t="s">
        <v>109</v>
      </c>
    </row>
    <row r="49" spans="1:3">
      <c r="A49" s="13"/>
      <c r="B49" s="16" t="s">
        <v>895</v>
      </c>
      <c r="C49" s="16" t="s">
        <v>225</v>
      </c>
    </row>
    <row r="50" spans="1:3">
      <c r="A50" s="13"/>
      <c r="B50" s="16" t="s">
        <v>782</v>
      </c>
      <c r="C50" s="16" t="s">
        <v>112</v>
      </c>
    </row>
    <row r="51" spans="1:3">
      <c r="A51" s="13"/>
      <c r="B51" s="16" t="s">
        <v>906</v>
      </c>
      <c r="C51" s="16" t="s">
        <v>236</v>
      </c>
    </row>
    <row r="52" spans="1:3">
      <c r="A52" s="13"/>
      <c r="B52" s="16" t="s">
        <v>913</v>
      </c>
      <c r="C52" s="16" t="s">
        <v>243</v>
      </c>
    </row>
    <row r="53" spans="1:3">
      <c r="A53" s="13"/>
      <c r="B53" s="16" t="s">
        <v>792</v>
      </c>
      <c r="C53" s="16" t="s">
        <v>122</v>
      </c>
    </row>
    <row r="54" spans="1:3">
      <c r="A54" s="13" t="s">
        <v>1306</v>
      </c>
      <c r="B54" s="16" t="s">
        <v>793</v>
      </c>
      <c r="C54" s="16" t="s">
        <v>123</v>
      </c>
    </row>
    <row r="55" spans="1:3">
      <c r="A55" s="13"/>
      <c r="B55" s="16" t="s">
        <v>786</v>
      </c>
      <c r="C55" s="16" t="s">
        <v>116</v>
      </c>
    </row>
    <row r="56" spans="1:3">
      <c r="A56" s="13"/>
      <c r="B56" s="16" t="s">
        <v>787</v>
      </c>
      <c r="C56" s="16" t="s">
        <v>117</v>
      </c>
    </row>
    <row r="57" spans="1:3">
      <c r="A57" s="13"/>
      <c r="B57" s="16" t="s">
        <v>724</v>
      </c>
      <c r="C57" s="16" t="s">
        <v>55</v>
      </c>
    </row>
    <row r="58" spans="1:3">
      <c r="A58" s="13"/>
      <c r="B58" s="16" t="s">
        <v>689</v>
      </c>
      <c r="C58" s="16" t="s">
        <v>20</v>
      </c>
    </row>
    <row r="59" spans="1:3">
      <c r="A59" s="13"/>
      <c r="B59" s="16" t="s">
        <v>720</v>
      </c>
      <c r="C59" s="16" t="s">
        <v>51</v>
      </c>
    </row>
    <row r="60" spans="1:3">
      <c r="A60" s="13"/>
      <c r="B60" s="16" t="s">
        <v>908</v>
      </c>
      <c r="C60" s="16" t="s">
        <v>238</v>
      </c>
    </row>
    <row r="61" spans="1:3">
      <c r="A61" s="13"/>
      <c r="B61" s="16" t="s">
        <v>708</v>
      </c>
      <c r="C61" s="16" t="s">
        <v>39</v>
      </c>
    </row>
    <row r="62" spans="1:3">
      <c r="A62" s="13"/>
      <c r="B62" s="16" t="s">
        <v>709</v>
      </c>
      <c r="C62" s="16" t="s">
        <v>40</v>
      </c>
    </row>
    <row r="63" spans="1:3">
      <c r="A63" s="13"/>
      <c r="B63" s="16" t="s">
        <v>735</v>
      </c>
      <c r="C63" s="16" t="s">
        <v>66</v>
      </c>
    </row>
    <row r="64" spans="1:3">
      <c r="A64" s="13"/>
      <c r="B64" s="16" t="s">
        <v>897</v>
      </c>
      <c r="C64" s="16" t="s">
        <v>227</v>
      </c>
    </row>
    <row r="65" spans="1:3">
      <c r="A65" s="13"/>
      <c r="B65" s="16" t="s">
        <v>898</v>
      </c>
      <c r="C65" s="16" t="s">
        <v>228</v>
      </c>
    </row>
    <row r="66" spans="1:3">
      <c r="A66" s="13"/>
      <c r="B66" s="16" t="s">
        <v>780</v>
      </c>
      <c r="C66" s="16" t="s">
        <v>110</v>
      </c>
    </row>
    <row r="67" spans="1:3">
      <c r="A67" s="13"/>
      <c r="B67" s="16" t="s">
        <v>781</v>
      </c>
      <c r="C67" s="16" t="s">
        <v>111</v>
      </c>
    </row>
    <row r="68" spans="1:3">
      <c r="A68" s="13"/>
      <c r="B68" s="16" t="s">
        <v>899</v>
      </c>
      <c r="C68" s="16" t="s">
        <v>229</v>
      </c>
    </row>
    <row r="69" spans="1:3">
      <c r="A69" s="13"/>
      <c r="B69" s="16" t="s">
        <v>900</v>
      </c>
      <c r="C69" s="16" t="s">
        <v>230</v>
      </c>
    </row>
    <row r="70" spans="1:3">
      <c r="A70" s="13"/>
      <c r="B70" s="16" t="s">
        <v>788</v>
      </c>
      <c r="C70" s="16" t="s">
        <v>118</v>
      </c>
    </row>
    <row r="71" spans="1:3">
      <c r="A71" s="13"/>
      <c r="B71" s="16" t="s">
        <v>789</v>
      </c>
      <c r="C71" s="16" t="s">
        <v>119</v>
      </c>
    </row>
    <row r="72" spans="1:3">
      <c r="A72" s="13"/>
      <c r="B72" s="16" t="s">
        <v>916</v>
      </c>
      <c r="C72" s="16" t="s">
        <v>246</v>
      </c>
    </row>
    <row r="73" spans="1:3">
      <c r="A73" s="13"/>
      <c r="B73" s="16" t="s">
        <v>940</v>
      </c>
      <c r="C73" s="16" t="s">
        <v>270</v>
      </c>
    </row>
    <row r="74" spans="1:3">
      <c r="A74" s="13"/>
      <c r="B74" s="16" t="s">
        <v>836</v>
      </c>
      <c r="C74" s="16" t="s">
        <v>166</v>
      </c>
    </row>
    <row r="75" spans="1:3">
      <c r="A75" s="13"/>
      <c r="B75" s="16" t="s">
        <v>914</v>
      </c>
      <c r="C75" s="16" t="s">
        <v>244</v>
      </c>
    </row>
    <row r="76" spans="1:3">
      <c r="A76" s="13"/>
      <c r="B76" s="16" t="s">
        <v>957</v>
      </c>
      <c r="C76" s="16" t="s">
        <v>288</v>
      </c>
    </row>
    <row r="77" spans="1:3">
      <c r="A77" s="13"/>
      <c r="B77" s="16" t="s">
        <v>958</v>
      </c>
      <c r="C77" s="16" t="s">
        <v>289</v>
      </c>
    </row>
    <row r="78" spans="1:3">
      <c r="A78" s="13"/>
      <c r="B78" s="16" t="s">
        <v>960</v>
      </c>
      <c r="C78" s="16" t="s">
        <v>291</v>
      </c>
    </row>
    <row r="79" spans="1:3">
      <c r="A79" s="13"/>
      <c r="B79" s="16" t="s">
        <v>961</v>
      </c>
      <c r="C79" s="16" t="s">
        <v>292</v>
      </c>
    </row>
    <row r="80" spans="1:3">
      <c r="A80" s="13"/>
      <c r="B80" s="16" t="s">
        <v>962</v>
      </c>
      <c r="C80" s="16" t="s">
        <v>293</v>
      </c>
    </row>
    <row r="81" spans="1:3">
      <c r="A81" s="13"/>
      <c r="B81" s="16" t="s">
        <v>951</v>
      </c>
      <c r="C81" s="16" t="s">
        <v>282</v>
      </c>
    </row>
    <row r="82" spans="1:3">
      <c r="A82" s="13"/>
      <c r="B82" s="16" t="s">
        <v>947</v>
      </c>
      <c r="C82" s="16" t="s">
        <v>278</v>
      </c>
    </row>
    <row r="83" spans="1:3">
      <c r="A83" s="13"/>
      <c r="B83" s="16" t="s">
        <v>692</v>
      </c>
      <c r="C83" s="16" t="s">
        <v>23</v>
      </c>
    </row>
    <row r="84" spans="1:3">
      <c r="A84" s="13"/>
      <c r="B84" s="16" t="s">
        <v>722</v>
      </c>
      <c r="C84" s="16" t="s">
        <v>53</v>
      </c>
    </row>
    <row r="85" spans="1:3">
      <c r="A85" s="13"/>
      <c r="B85" s="16" t="s">
        <v>693</v>
      </c>
      <c r="C85" s="16" t="s">
        <v>24</v>
      </c>
    </row>
    <row r="86" spans="1:3">
      <c r="A86" s="13"/>
      <c r="B86" s="16" t="s">
        <v>723</v>
      </c>
      <c r="C86" s="16" t="s">
        <v>54</v>
      </c>
    </row>
    <row r="87" spans="1:3">
      <c r="A87" s="13"/>
      <c r="B87" s="16" t="s">
        <v>790</v>
      </c>
      <c r="C87" s="16" t="s">
        <v>120</v>
      </c>
    </row>
    <row r="88" spans="1:3">
      <c r="A88" s="13"/>
      <c r="B88" s="16" t="s">
        <v>791</v>
      </c>
      <c r="C88" s="16" t="s">
        <v>121</v>
      </c>
    </row>
    <row r="89" spans="1:3">
      <c r="A89" s="13"/>
      <c r="B89" s="16" t="s">
        <v>687</v>
      </c>
      <c r="C89" s="16" t="s">
        <v>18</v>
      </c>
    </row>
    <row r="90" spans="1:3">
      <c r="A90" s="13"/>
      <c r="B90" s="16" t="s">
        <v>686</v>
      </c>
      <c r="C90" s="16" t="s">
        <v>17</v>
      </c>
    </row>
    <row r="91" spans="1:3">
      <c r="A91" s="13"/>
      <c r="B91" s="16" t="s">
        <v>688</v>
      </c>
      <c r="C91" s="16" t="s">
        <v>19</v>
      </c>
    </row>
    <row r="92" spans="1:3">
      <c r="A92" s="13"/>
      <c r="B92" s="16" t="s">
        <v>677</v>
      </c>
      <c r="C92" s="16" t="s">
        <v>8</v>
      </c>
    </row>
    <row r="93" spans="1:3">
      <c r="A93" s="13"/>
      <c r="B93" s="16" t="s">
        <v>678</v>
      </c>
      <c r="C93" s="16" t="s">
        <v>9</v>
      </c>
    </row>
    <row r="94" spans="1:3">
      <c r="A94" s="13"/>
      <c r="B94" s="16" t="s">
        <v>968</v>
      </c>
      <c r="C94" s="16" t="s">
        <v>299</v>
      </c>
    </row>
    <row r="95" spans="1:3">
      <c r="A95" s="13"/>
      <c r="B95" s="16" t="s">
        <v>679</v>
      </c>
      <c r="C95" s="16" t="s">
        <v>10</v>
      </c>
    </row>
    <row r="96" spans="1:3">
      <c r="A96" s="13"/>
      <c r="B96" s="16" t="s">
        <v>680</v>
      </c>
      <c r="C96" s="16" t="s">
        <v>11</v>
      </c>
    </row>
    <row r="97" spans="1:3">
      <c r="A97" s="13"/>
      <c r="B97" s="16" t="s">
        <v>976</v>
      </c>
      <c r="C97" s="16" t="s">
        <v>307</v>
      </c>
    </row>
    <row r="98" spans="1:3">
      <c r="A98" s="13"/>
      <c r="B98" s="16" t="s">
        <v>909</v>
      </c>
      <c r="C98" s="16" t="s">
        <v>239</v>
      </c>
    </row>
    <row r="99" spans="1:3">
      <c r="A99" s="13"/>
      <c r="B99" s="16" t="s">
        <v>752</v>
      </c>
      <c r="C99" s="16" t="s">
        <v>82</v>
      </c>
    </row>
    <row r="100" spans="1:3">
      <c r="A100" s="13"/>
      <c r="B100" s="16" t="s">
        <v>751</v>
      </c>
      <c r="C100" s="16" t="s">
        <v>81</v>
      </c>
    </row>
    <row r="101" spans="1:3">
      <c r="A101" s="13"/>
      <c r="B101" s="16" t="s">
        <v>753</v>
      </c>
      <c r="C101" s="16" t="s">
        <v>83</v>
      </c>
    </row>
    <row r="102" spans="1:3">
      <c r="A102" s="13"/>
      <c r="B102" s="16" t="s">
        <v>785</v>
      </c>
      <c r="C102" s="16" t="s">
        <v>115</v>
      </c>
    </row>
    <row r="103" spans="1:3">
      <c r="A103" s="13"/>
      <c r="B103" s="16" t="s">
        <v>896</v>
      </c>
      <c r="C103" s="16" t="s">
        <v>226</v>
      </c>
    </row>
    <row r="104" spans="1:3">
      <c r="A104" s="13"/>
      <c r="B104" s="16" t="s">
        <v>719</v>
      </c>
      <c r="C104" s="16" t="s">
        <v>50</v>
      </c>
    </row>
    <row r="105" spans="1:3">
      <c r="A105" s="13"/>
      <c r="B105" s="16" t="s">
        <v>717</v>
      </c>
      <c r="C105" s="16" t="s">
        <v>48</v>
      </c>
    </row>
    <row r="106" spans="1:3">
      <c r="A106" s="13" t="s">
        <v>1306</v>
      </c>
      <c r="B106" s="16" t="s">
        <v>718</v>
      </c>
      <c r="C106" s="16" t="s">
        <v>49</v>
      </c>
    </row>
    <row r="107" spans="1:3">
      <c r="A107" s="13"/>
      <c r="B107" s="16" t="s">
        <v>915</v>
      </c>
      <c r="C107" s="16" t="s">
        <v>245</v>
      </c>
    </row>
    <row r="108" spans="1:3">
      <c r="A108" s="13"/>
      <c r="B108" s="16" t="s">
        <v>910</v>
      </c>
      <c r="C108" s="16" t="s">
        <v>240</v>
      </c>
    </row>
    <row r="109" spans="1:3">
      <c r="A109" s="13"/>
      <c r="B109" s="16" t="s">
        <v>959</v>
      </c>
      <c r="C109" s="16" t="s">
        <v>290</v>
      </c>
    </row>
    <row r="110" spans="1:3">
      <c r="A110" s="13"/>
      <c r="B110" s="16" t="s">
        <v>950</v>
      </c>
      <c r="C110" s="16" t="s">
        <v>281</v>
      </c>
    </row>
    <row r="111" spans="1:3">
      <c r="A111" s="13"/>
      <c r="B111" s="16" t="s">
        <v>918</v>
      </c>
      <c r="C111" s="16" t="s">
        <v>248</v>
      </c>
    </row>
    <row r="112" spans="1:3">
      <c r="A112" s="13"/>
      <c r="B112" s="16" t="s">
        <v>794</v>
      </c>
      <c r="C112" s="16" t="s">
        <v>124</v>
      </c>
    </row>
    <row r="113" spans="1:3">
      <c r="A113" s="13"/>
      <c r="B113" s="16" t="s">
        <v>795</v>
      </c>
      <c r="C113" s="16" t="s">
        <v>125</v>
      </c>
    </row>
    <row r="114" spans="1:3">
      <c r="A114" s="13"/>
      <c r="B114" s="16" t="s">
        <v>861</v>
      </c>
      <c r="C114" s="16" t="s">
        <v>191</v>
      </c>
    </row>
    <row r="115" spans="1:3">
      <c r="A115" s="13"/>
      <c r="B115" s="16" t="s">
        <v>863</v>
      </c>
      <c r="C115" s="16" t="s">
        <v>193</v>
      </c>
    </row>
    <row r="116" spans="1:3">
      <c r="A116" s="13"/>
      <c r="B116" s="16" t="s">
        <v>756</v>
      </c>
      <c r="C116" s="16" t="s">
        <v>86</v>
      </c>
    </row>
    <row r="117" spans="1:3">
      <c r="A117" s="13"/>
      <c r="B117" s="16" t="s">
        <v>767</v>
      </c>
      <c r="C117" s="16" t="s">
        <v>97</v>
      </c>
    </row>
    <row r="118" spans="1:3">
      <c r="A118" s="13"/>
      <c r="B118" s="16" t="s">
        <v>768</v>
      </c>
      <c r="C118" s="16" t="s">
        <v>98</v>
      </c>
    </row>
    <row r="119" spans="1:3">
      <c r="A119" s="13"/>
      <c r="B119" s="16" t="s">
        <v>764</v>
      </c>
      <c r="C119" s="16" t="s">
        <v>94</v>
      </c>
    </row>
    <row r="120" spans="1:3">
      <c r="A120" s="13"/>
      <c r="B120" s="16" t="s">
        <v>885</v>
      </c>
      <c r="C120" s="16" t="s">
        <v>215</v>
      </c>
    </row>
    <row r="121" spans="1:3">
      <c r="A121" s="13"/>
      <c r="B121" s="16" t="s">
        <v>886</v>
      </c>
      <c r="C121" s="16" t="s">
        <v>216</v>
      </c>
    </row>
    <row r="122" spans="1:3">
      <c r="A122" s="13"/>
      <c r="B122" s="16" t="s">
        <v>887</v>
      </c>
      <c r="C122" s="16" t="s">
        <v>217</v>
      </c>
    </row>
    <row r="123" spans="1:3">
      <c r="A123" s="13"/>
      <c r="B123" s="16" t="s">
        <v>882</v>
      </c>
      <c r="C123" s="16" t="s">
        <v>212</v>
      </c>
    </row>
    <row r="124" spans="1:3">
      <c r="A124" s="13"/>
      <c r="B124" s="16" t="s">
        <v>763</v>
      </c>
      <c r="C124" s="16" t="s">
        <v>93</v>
      </c>
    </row>
    <row r="125" spans="1:3">
      <c r="A125" s="13"/>
      <c r="B125" s="16" t="s">
        <v>760</v>
      </c>
      <c r="C125" s="16" t="s">
        <v>90</v>
      </c>
    </row>
    <row r="126" spans="1:3">
      <c r="A126" s="13"/>
      <c r="B126" s="16" t="s">
        <v>761</v>
      </c>
      <c r="C126" s="16" t="s">
        <v>91</v>
      </c>
    </row>
    <row r="127" spans="1:3">
      <c r="A127" s="13"/>
      <c r="B127" s="16" t="s">
        <v>762</v>
      </c>
      <c r="C127" s="16" t="s">
        <v>92</v>
      </c>
    </row>
    <row r="128" spans="1:3">
      <c r="A128" s="13"/>
      <c r="B128" s="16" t="s">
        <v>881</v>
      </c>
      <c r="C128" s="16" t="s">
        <v>211</v>
      </c>
    </row>
    <row r="129" spans="1:3">
      <c r="A129" s="13"/>
      <c r="B129" s="16" t="s">
        <v>888</v>
      </c>
      <c r="C129" s="16" t="s">
        <v>218</v>
      </c>
    </row>
    <row r="130" spans="1:3">
      <c r="A130" s="13"/>
      <c r="B130" s="16" t="s">
        <v>771</v>
      </c>
      <c r="C130" s="16" t="s">
        <v>101</v>
      </c>
    </row>
    <row r="131" spans="1:3">
      <c r="A131" s="13"/>
      <c r="B131" s="16" t="s">
        <v>889</v>
      </c>
      <c r="C131" s="16" t="s">
        <v>219</v>
      </c>
    </row>
    <row r="132" spans="1:3">
      <c r="A132" s="13"/>
      <c r="B132" s="16" t="s">
        <v>890</v>
      </c>
      <c r="C132" s="16" t="s">
        <v>220</v>
      </c>
    </row>
    <row r="133" spans="1:3">
      <c r="A133" s="13"/>
      <c r="B133" s="16" t="s">
        <v>758</v>
      </c>
      <c r="C133" s="16" t="s">
        <v>88</v>
      </c>
    </row>
    <row r="134" spans="1:3">
      <c r="A134" s="13"/>
      <c r="B134" s="16" t="s">
        <v>879</v>
      </c>
      <c r="C134" s="16" t="s">
        <v>209</v>
      </c>
    </row>
    <row r="135" spans="1:3">
      <c r="A135" s="13"/>
      <c r="B135" s="16" t="s">
        <v>755</v>
      </c>
      <c r="C135" s="16" t="s">
        <v>85</v>
      </c>
    </row>
    <row r="136" spans="1:3">
      <c r="A136" s="13"/>
      <c r="B136" s="16" t="s">
        <v>757</v>
      </c>
      <c r="C136" s="16" t="s">
        <v>87</v>
      </c>
    </row>
    <row r="137" spans="1:3">
      <c r="A137" s="13"/>
      <c r="B137" s="16" t="s">
        <v>772</v>
      </c>
      <c r="C137" s="16" t="s">
        <v>102</v>
      </c>
    </row>
    <row r="138" spans="1:3">
      <c r="A138" s="13"/>
      <c r="B138" s="16" t="s">
        <v>773</v>
      </c>
      <c r="C138" s="16" t="s">
        <v>103</v>
      </c>
    </row>
    <row r="139" spans="1:3">
      <c r="A139" s="13"/>
      <c r="B139" s="16" t="s">
        <v>891</v>
      </c>
      <c r="C139" s="16" t="s">
        <v>221</v>
      </c>
    </row>
    <row r="140" spans="1:3">
      <c r="A140" s="13"/>
      <c r="B140" s="16" t="s">
        <v>892</v>
      </c>
      <c r="C140" s="16" t="s">
        <v>222</v>
      </c>
    </row>
    <row r="141" spans="1:3">
      <c r="A141" s="13"/>
      <c r="B141" s="16" t="s">
        <v>765</v>
      </c>
      <c r="C141" s="16" t="s">
        <v>95</v>
      </c>
    </row>
    <row r="142" spans="1:3">
      <c r="A142" s="13"/>
      <c r="B142" s="16" t="s">
        <v>766</v>
      </c>
      <c r="C142" s="16" t="s">
        <v>96</v>
      </c>
    </row>
    <row r="143" spans="1:3">
      <c r="A143" s="13"/>
      <c r="B143" s="16" t="s">
        <v>759</v>
      </c>
      <c r="C143" s="16" t="s">
        <v>89</v>
      </c>
    </row>
    <row r="144" spans="1:3">
      <c r="A144" s="13"/>
      <c r="B144" s="16" t="s">
        <v>880</v>
      </c>
      <c r="C144" s="16" t="s">
        <v>210</v>
      </c>
    </row>
    <row r="145" spans="1:3">
      <c r="A145" s="13"/>
      <c r="B145" s="16" t="s">
        <v>883</v>
      </c>
      <c r="C145" s="16" t="s">
        <v>213</v>
      </c>
    </row>
    <row r="146" spans="1:3">
      <c r="A146" s="13"/>
      <c r="B146" s="16" t="s">
        <v>884</v>
      </c>
      <c r="C146" s="16" t="s">
        <v>214</v>
      </c>
    </row>
    <row r="147" spans="1:3">
      <c r="A147" s="13"/>
      <c r="B147" s="16" t="s">
        <v>769</v>
      </c>
      <c r="C147" s="16" t="s">
        <v>99</v>
      </c>
    </row>
    <row r="148" spans="1:3">
      <c r="A148" s="13"/>
      <c r="B148" s="16" t="s">
        <v>770</v>
      </c>
      <c r="C148" s="16" t="s">
        <v>100</v>
      </c>
    </row>
    <row r="149" spans="1:3">
      <c r="A149" s="13"/>
      <c r="B149" s="16" t="s">
        <v>807</v>
      </c>
      <c r="C149" s="16" t="s">
        <v>137</v>
      </c>
    </row>
    <row r="150" spans="1:3">
      <c r="A150" s="13"/>
      <c r="B150" s="16" t="s">
        <v>809</v>
      </c>
      <c r="C150" s="16" t="s">
        <v>139</v>
      </c>
    </row>
    <row r="151" spans="1:3">
      <c r="A151" s="13"/>
      <c r="B151" s="16" t="s">
        <v>825</v>
      </c>
      <c r="C151" s="16" t="s">
        <v>155</v>
      </c>
    </row>
    <row r="152" spans="1:3">
      <c r="A152" s="13"/>
      <c r="B152" s="16" t="s">
        <v>739</v>
      </c>
      <c r="C152" s="16" t="s">
        <v>70</v>
      </c>
    </row>
    <row r="153" spans="1:3">
      <c r="A153" s="13"/>
      <c r="B153" s="16" t="s">
        <v>845</v>
      </c>
      <c r="C153" s="16" t="s">
        <v>175</v>
      </c>
    </row>
    <row r="154" spans="1:3">
      <c r="A154" s="13"/>
      <c r="B154" s="16" t="s">
        <v>938</v>
      </c>
      <c r="C154" s="16" t="s">
        <v>268</v>
      </c>
    </row>
    <row r="155" spans="1:3">
      <c r="A155" s="13"/>
      <c r="B155" s="16" t="s">
        <v>736</v>
      </c>
      <c r="C155" s="16" t="s">
        <v>67</v>
      </c>
    </row>
    <row r="156" spans="1:3">
      <c r="A156" s="13"/>
      <c r="B156" s="16" t="s">
        <v>737</v>
      </c>
      <c r="C156" s="16" t="s">
        <v>68</v>
      </c>
    </row>
    <row r="157" spans="1:3">
      <c r="A157" s="13"/>
      <c r="B157" s="16" t="s">
        <v>843</v>
      </c>
      <c r="C157" s="16" t="s">
        <v>173</v>
      </c>
    </row>
    <row r="158" spans="1:3">
      <c r="A158" s="13" t="s">
        <v>1306</v>
      </c>
      <c r="B158" s="16" t="s">
        <v>832</v>
      </c>
      <c r="C158" s="16" t="s">
        <v>162</v>
      </c>
    </row>
    <row r="159" spans="1:3">
      <c r="A159" s="13"/>
      <c r="B159" s="16" t="s">
        <v>824</v>
      </c>
      <c r="C159" s="16" t="s">
        <v>154</v>
      </c>
    </row>
    <row r="160" spans="1:3">
      <c r="A160" s="13"/>
      <c r="B160" s="16" t="s">
        <v>738</v>
      </c>
      <c r="C160" s="16" t="s">
        <v>69</v>
      </c>
    </row>
    <row r="161" spans="1:3">
      <c r="A161" s="13"/>
      <c r="B161" s="16" t="s">
        <v>812</v>
      </c>
      <c r="C161" s="16" t="s">
        <v>142</v>
      </c>
    </row>
    <row r="162" spans="1:3">
      <c r="A162" s="13"/>
      <c r="B162" s="16" t="s">
        <v>811</v>
      </c>
      <c r="C162" s="16" t="s">
        <v>141</v>
      </c>
    </row>
    <row r="163" spans="1:3">
      <c r="A163" s="13"/>
      <c r="B163" s="16" t="s">
        <v>810</v>
      </c>
      <c r="C163" s="16" t="s">
        <v>140</v>
      </c>
    </row>
    <row r="164" spans="1:3">
      <c r="A164" s="13"/>
      <c r="B164" s="16" t="s">
        <v>822</v>
      </c>
      <c r="C164" s="16" t="s">
        <v>152</v>
      </c>
    </row>
    <row r="165" spans="1:3">
      <c r="A165" s="13"/>
      <c r="B165" s="16" t="s">
        <v>676</v>
      </c>
      <c r="C165" s="16" t="s">
        <v>7</v>
      </c>
    </row>
    <row r="166" spans="1:3">
      <c r="A166" s="13"/>
      <c r="B166" s="16" t="s">
        <v>837</v>
      </c>
      <c r="C166" s="16" t="s">
        <v>167</v>
      </c>
    </row>
    <row r="167" spans="1:3">
      <c r="A167" s="13"/>
      <c r="B167" s="16" t="s">
        <v>820</v>
      </c>
      <c r="C167" s="16" t="s">
        <v>150</v>
      </c>
    </row>
    <row r="168" spans="1:3">
      <c r="A168" s="13"/>
      <c r="B168" s="16" t="s">
        <v>930</v>
      </c>
      <c r="C168" s="16" t="s">
        <v>260</v>
      </c>
    </row>
    <row r="169" spans="1:3">
      <c r="A169" s="13"/>
      <c r="B169" s="16" t="s">
        <v>955</v>
      </c>
      <c r="C169" s="16" t="s">
        <v>286</v>
      </c>
    </row>
    <row r="170" spans="1:3">
      <c r="A170" s="13"/>
      <c r="B170" s="16" t="s">
        <v>849</v>
      </c>
      <c r="C170" s="16" t="s">
        <v>179</v>
      </c>
    </row>
    <row r="171" spans="1:3">
      <c r="A171" s="13"/>
      <c r="B171" s="16" t="s">
        <v>803</v>
      </c>
      <c r="C171" s="16" t="s">
        <v>133</v>
      </c>
    </row>
    <row r="172" spans="1:3">
      <c r="A172" s="13"/>
      <c r="B172" s="16" t="s">
        <v>804</v>
      </c>
      <c r="C172" s="16" t="s">
        <v>134</v>
      </c>
    </row>
    <row r="173" spans="1:3">
      <c r="A173" s="13"/>
      <c r="B173" s="16" t="s">
        <v>805</v>
      </c>
      <c r="C173" s="16" t="s">
        <v>135</v>
      </c>
    </row>
    <row r="174" spans="1:3">
      <c r="A174" s="13"/>
      <c r="B174" s="16" t="s">
        <v>850</v>
      </c>
      <c r="C174" s="16" t="s">
        <v>180</v>
      </c>
    </row>
    <row r="175" spans="1:3">
      <c r="A175" s="13"/>
      <c r="B175" s="16" t="s">
        <v>841</v>
      </c>
      <c r="C175" s="16" t="s">
        <v>171</v>
      </c>
    </row>
    <row r="176" spans="1:3">
      <c r="A176" s="13"/>
      <c r="B176" s="16" t="s">
        <v>842</v>
      </c>
      <c r="C176" s="16" t="s">
        <v>172</v>
      </c>
    </row>
    <row r="177" spans="1:3">
      <c r="A177" s="13"/>
      <c r="B177" s="16" t="s">
        <v>839</v>
      </c>
      <c r="C177" s="16" t="s">
        <v>169</v>
      </c>
    </row>
    <row r="178" spans="1:3">
      <c r="A178" s="13"/>
      <c r="B178" s="16" t="s">
        <v>840</v>
      </c>
      <c r="C178" s="16" t="s">
        <v>170</v>
      </c>
    </row>
    <row r="179" spans="1:3">
      <c r="A179" s="13"/>
      <c r="B179" s="16" t="s">
        <v>816</v>
      </c>
      <c r="C179" s="16" t="s">
        <v>146</v>
      </c>
    </row>
    <row r="180" spans="1:3">
      <c r="A180" s="13"/>
      <c r="B180" s="16" t="s">
        <v>817</v>
      </c>
      <c r="C180" s="16" t="s">
        <v>147</v>
      </c>
    </row>
    <row r="181" spans="1:3">
      <c r="A181" s="13"/>
      <c r="B181" s="16" t="s">
        <v>826</v>
      </c>
      <c r="C181" s="16" t="s">
        <v>156</v>
      </c>
    </row>
    <row r="182" spans="1:3">
      <c r="A182" s="13"/>
      <c r="B182" s="16" t="s">
        <v>953</v>
      </c>
      <c r="C182" s="16" t="s">
        <v>284</v>
      </c>
    </row>
    <row r="183" spans="1:3">
      <c r="A183" s="13"/>
      <c r="B183" s="16" t="s">
        <v>952</v>
      </c>
      <c r="C183" s="16" t="s">
        <v>283</v>
      </c>
    </row>
    <row r="184" spans="1:3">
      <c r="A184" s="13"/>
      <c r="B184" s="16" t="s">
        <v>965</v>
      </c>
      <c r="C184" s="16" t="s">
        <v>296</v>
      </c>
    </row>
    <row r="185" spans="1:3">
      <c r="A185" s="13"/>
      <c r="B185" s="16" t="s">
        <v>964</v>
      </c>
      <c r="C185" s="16" t="s">
        <v>295</v>
      </c>
    </row>
    <row r="186" spans="1:3">
      <c r="A186" s="13"/>
      <c r="B186" s="16" t="s">
        <v>963</v>
      </c>
      <c r="C186" s="16" t="s">
        <v>294</v>
      </c>
    </row>
    <row r="187" spans="1:3">
      <c r="A187" s="13"/>
      <c r="B187" s="16" t="s">
        <v>954</v>
      </c>
      <c r="C187" s="16" t="s">
        <v>285</v>
      </c>
    </row>
    <row r="188" spans="1:3">
      <c r="A188" s="13"/>
      <c r="B188" s="16" t="s">
        <v>855</v>
      </c>
      <c r="C188" s="16" t="s">
        <v>185</v>
      </c>
    </row>
    <row r="189" spans="1:3">
      <c r="A189" s="13"/>
      <c r="B189" s="16" t="s">
        <v>856</v>
      </c>
      <c r="C189" s="16" t="s">
        <v>186</v>
      </c>
    </row>
    <row r="190" spans="1:3">
      <c r="A190" s="13"/>
      <c r="B190" s="16" t="s">
        <v>937</v>
      </c>
      <c r="C190" s="16" t="s">
        <v>267</v>
      </c>
    </row>
    <row r="191" spans="1:3">
      <c r="A191" s="13"/>
      <c r="B191" s="16" t="s">
        <v>851</v>
      </c>
      <c r="C191" s="16" t="s">
        <v>181</v>
      </c>
    </row>
    <row r="192" spans="1:3">
      <c r="A192" s="13"/>
      <c r="B192" s="16" t="s">
        <v>852</v>
      </c>
      <c r="C192" s="16" t="s">
        <v>182</v>
      </c>
    </row>
    <row r="193" spans="1:3">
      <c r="A193" s="13"/>
      <c r="B193" s="16" t="s">
        <v>828</v>
      </c>
      <c r="C193" s="16" t="s">
        <v>158</v>
      </c>
    </row>
    <row r="194" spans="1:3">
      <c r="A194" s="13"/>
      <c r="B194" s="16" t="s">
        <v>833</v>
      </c>
      <c r="C194" s="16" t="s">
        <v>163</v>
      </c>
    </row>
    <row r="195" spans="1:3">
      <c r="A195" s="13"/>
      <c r="B195" s="16" t="s">
        <v>834</v>
      </c>
      <c r="C195" s="16" t="s">
        <v>164</v>
      </c>
    </row>
    <row r="196" spans="1:3">
      <c r="A196" s="13"/>
      <c r="B196" s="16" t="s">
        <v>835</v>
      </c>
      <c r="C196" s="16" t="s">
        <v>165</v>
      </c>
    </row>
    <row r="197" spans="1:3">
      <c r="A197" s="13"/>
      <c r="B197" s="16" t="s">
        <v>806</v>
      </c>
      <c r="C197" s="16" t="s">
        <v>136</v>
      </c>
    </row>
    <row r="198" spans="1:3">
      <c r="A198" s="13"/>
      <c r="B198" s="16" t="s">
        <v>831</v>
      </c>
      <c r="C198" s="16" t="s">
        <v>161</v>
      </c>
    </row>
    <row r="199" spans="1:3">
      <c r="A199" s="13"/>
      <c r="B199" s="16" t="s">
        <v>814</v>
      </c>
      <c r="C199" s="16" t="s">
        <v>144</v>
      </c>
    </row>
    <row r="200" spans="1:3">
      <c r="A200" s="13"/>
      <c r="B200" s="16" t="s">
        <v>815</v>
      </c>
      <c r="C200" s="16" t="s">
        <v>145</v>
      </c>
    </row>
    <row r="201" spans="1:3">
      <c r="A201" s="13"/>
      <c r="B201" s="16" t="s">
        <v>818</v>
      </c>
      <c r="C201" s="16" t="s">
        <v>148</v>
      </c>
    </row>
    <row r="202" spans="1:3">
      <c r="A202" s="13"/>
      <c r="B202" s="16" t="s">
        <v>819</v>
      </c>
      <c r="C202" s="16" t="s">
        <v>149</v>
      </c>
    </row>
    <row r="203" spans="1:3">
      <c r="A203" s="13"/>
      <c r="B203" s="16" t="s">
        <v>864</v>
      </c>
      <c r="C203" s="16" t="s">
        <v>194</v>
      </c>
    </row>
    <row r="204" spans="1:3">
      <c r="A204" s="13"/>
      <c r="B204" s="16" t="s">
        <v>865</v>
      </c>
      <c r="C204" s="16" t="s">
        <v>195</v>
      </c>
    </row>
    <row r="205" spans="1:3">
      <c r="A205" s="13"/>
      <c r="B205" s="16" t="s">
        <v>867</v>
      </c>
      <c r="C205" s="16" t="s">
        <v>197</v>
      </c>
    </row>
    <row r="206" spans="1:3">
      <c r="A206" s="13"/>
      <c r="B206" s="16" t="s">
        <v>866</v>
      </c>
      <c r="C206" s="16" t="s">
        <v>196</v>
      </c>
    </row>
    <row r="207" spans="1:3">
      <c r="A207" s="13"/>
      <c r="B207" s="16" t="s">
        <v>844</v>
      </c>
      <c r="C207" s="16" t="s">
        <v>174</v>
      </c>
    </row>
    <row r="208" spans="1:3">
      <c r="A208" s="13"/>
      <c r="B208" s="16" t="s">
        <v>846</v>
      </c>
      <c r="C208" s="16" t="s">
        <v>176</v>
      </c>
    </row>
    <row r="209" spans="1:3">
      <c r="A209" s="13"/>
      <c r="B209" s="16" t="s">
        <v>847</v>
      </c>
      <c r="C209" s="16" t="s">
        <v>177</v>
      </c>
    </row>
    <row r="210" spans="1:3">
      <c r="A210" s="13" t="s">
        <v>1306</v>
      </c>
      <c r="B210" s="16" t="s">
        <v>848</v>
      </c>
      <c r="C210" s="16" t="s">
        <v>178</v>
      </c>
    </row>
    <row r="211" spans="1:3">
      <c r="A211" s="13"/>
      <c r="B211" s="16" t="s">
        <v>672</v>
      </c>
      <c r="C211" s="16" t="s">
        <v>3</v>
      </c>
    </row>
    <row r="212" spans="1:3">
      <c r="A212" s="13"/>
      <c r="B212" s="16" t="s">
        <v>710</v>
      </c>
      <c r="C212" s="16" t="s">
        <v>41</v>
      </c>
    </row>
    <row r="213" spans="1:3">
      <c r="A213" s="13"/>
      <c r="B213" s="16" t="s">
        <v>673</v>
      </c>
      <c r="C213" s="16" t="s">
        <v>4</v>
      </c>
    </row>
    <row r="214" spans="1:3">
      <c r="A214" s="13"/>
      <c r="B214" s="16" t="s">
        <v>827</v>
      </c>
      <c r="C214" s="16" t="s">
        <v>157</v>
      </c>
    </row>
    <row r="215" spans="1:3">
      <c r="A215" s="13"/>
      <c r="B215" s="16" t="s">
        <v>967</v>
      </c>
      <c r="C215" s="16" t="s">
        <v>298</v>
      </c>
    </row>
    <row r="216" spans="1:3">
      <c r="A216" s="13"/>
      <c r="B216" s="16" t="s">
        <v>829</v>
      </c>
      <c r="C216" s="16" t="s">
        <v>159</v>
      </c>
    </row>
    <row r="217" spans="1:3">
      <c r="A217" s="13"/>
      <c r="B217" s="16" t="s">
        <v>971</v>
      </c>
      <c r="C217" s="16" t="s">
        <v>302</v>
      </c>
    </row>
    <row r="218" spans="1:3">
      <c r="A218" s="13"/>
      <c r="B218" s="16" t="s">
        <v>973</v>
      </c>
      <c r="C218" s="16" t="s">
        <v>304</v>
      </c>
    </row>
    <row r="219" spans="1:3">
      <c r="A219" s="13"/>
      <c r="B219" s="16" t="s">
        <v>838</v>
      </c>
      <c r="C219" s="16" t="s">
        <v>168</v>
      </c>
    </row>
    <row r="220" spans="1:3">
      <c r="A220" s="13"/>
      <c r="B220" s="16" t="s">
        <v>682</v>
      </c>
      <c r="C220" s="16" t="s">
        <v>13</v>
      </c>
    </row>
    <row r="221" spans="1:3">
      <c r="A221" s="13"/>
      <c r="B221" s="16" t="s">
        <v>683</v>
      </c>
      <c r="C221" s="16" t="s">
        <v>14</v>
      </c>
    </row>
    <row r="222" spans="1:3">
      <c r="A222" s="13"/>
      <c r="B222" s="16" t="s">
        <v>821</v>
      </c>
      <c r="C222" s="16" t="s">
        <v>151</v>
      </c>
    </row>
    <row r="223" spans="1:3">
      <c r="A223" s="13"/>
      <c r="B223" s="16" t="s">
        <v>823</v>
      </c>
      <c r="C223" s="16" t="s">
        <v>153</v>
      </c>
    </row>
    <row r="224" spans="1:3">
      <c r="A224" s="13"/>
      <c r="B224" s="16" t="s">
        <v>853</v>
      </c>
      <c r="C224" s="16" t="s">
        <v>183</v>
      </c>
    </row>
    <row r="225" spans="1:3">
      <c r="A225" s="13"/>
      <c r="B225" s="16" t="s">
        <v>854</v>
      </c>
      <c r="C225" s="16" t="s">
        <v>184</v>
      </c>
    </row>
    <row r="226" spans="1:3">
      <c r="A226" s="13"/>
      <c r="B226" s="16" t="s">
        <v>966</v>
      </c>
      <c r="C226" s="16" t="s">
        <v>297</v>
      </c>
    </row>
    <row r="227" spans="1:3">
      <c r="A227" s="13"/>
      <c r="B227" s="16" t="s">
        <v>830</v>
      </c>
      <c r="C227" s="16" t="s">
        <v>160</v>
      </c>
    </row>
    <row r="228" spans="1:3">
      <c r="A228" s="13"/>
      <c r="B228" s="16" t="s">
        <v>813</v>
      </c>
      <c r="C228" s="16" t="s">
        <v>143</v>
      </c>
    </row>
    <row r="229" spans="1:3">
      <c r="A229" s="13"/>
      <c r="B229" s="16" t="s">
        <v>808</v>
      </c>
      <c r="C229" s="16" t="s">
        <v>138</v>
      </c>
    </row>
    <row r="230" spans="1:3">
      <c r="A230" s="13"/>
      <c r="B230" s="16" t="s">
        <v>715</v>
      </c>
      <c r="C230" s="16" t="s">
        <v>46</v>
      </c>
    </row>
    <row r="231" spans="1:3">
      <c r="A231" s="13"/>
      <c r="B231" s="16" t="s">
        <v>702</v>
      </c>
      <c r="C231" s="16" t="s">
        <v>33</v>
      </c>
    </row>
    <row r="232" spans="1:3">
      <c r="A232" s="13"/>
      <c r="B232" s="16" t="s">
        <v>903</v>
      </c>
      <c r="C232" s="16" t="s">
        <v>233</v>
      </c>
    </row>
    <row r="233" spans="1:3">
      <c r="A233" s="13"/>
      <c r="B233" s="16" t="s">
        <v>728</v>
      </c>
      <c r="C233" s="16" t="s">
        <v>59</v>
      </c>
    </row>
    <row r="234" spans="1:3">
      <c r="A234" s="13"/>
      <c r="B234" s="16" t="s">
        <v>695</v>
      </c>
      <c r="C234" s="16" t="s">
        <v>26</v>
      </c>
    </row>
    <row r="235" spans="1:3">
      <c r="A235" s="13"/>
      <c r="B235" s="16" t="s">
        <v>681</v>
      </c>
      <c r="C235" s="19" t="s">
        <v>12</v>
      </c>
    </row>
    <row r="236" spans="1:3">
      <c r="A236" s="13"/>
      <c r="B236" s="16" t="s">
        <v>712</v>
      </c>
      <c r="C236" s="16" t="s">
        <v>43</v>
      </c>
    </row>
    <row r="237" spans="1:3">
      <c r="A237" s="13"/>
      <c r="B237" s="16" t="s">
        <v>858</v>
      </c>
      <c r="C237" s="16" t="s">
        <v>188</v>
      </c>
    </row>
    <row r="238" spans="1:3">
      <c r="A238" s="13"/>
      <c r="B238" s="16" t="s">
        <v>696</v>
      </c>
      <c r="C238" s="16" t="s">
        <v>27</v>
      </c>
    </row>
    <row r="239" spans="1:3">
      <c r="A239" s="13"/>
      <c r="B239" s="16" t="s">
        <v>697</v>
      </c>
      <c r="C239" s="16" t="s">
        <v>28</v>
      </c>
    </row>
    <row r="240" spans="1:3">
      <c r="A240" s="13"/>
      <c r="B240" s="16" t="s">
        <v>731</v>
      </c>
      <c r="C240" s="16" t="s">
        <v>62</v>
      </c>
    </row>
    <row r="241" spans="1:3">
      <c r="A241" s="13"/>
      <c r="B241" s="16" t="s">
        <v>700</v>
      </c>
      <c r="C241" s="16" t="s">
        <v>31</v>
      </c>
    </row>
    <row r="242" spans="1:3">
      <c r="A242" s="13"/>
      <c r="B242" s="16" t="s">
        <v>740</v>
      </c>
      <c r="C242" s="16" t="s">
        <v>71</v>
      </c>
    </row>
    <row r="243" spans="1:3">
      <c r="A243" s="13"/>
      <c r="B243" s="16" t="s">
        <v>741</v>
      </c>
      <c r="C243" s="16" t="s">
        <v>72</v>
      </c>
    </row>
    <row r="244" spans="1:3">
      <c r="A244" s="13"/>
      <c r="B244" s="16" t="s">
        <v>711</v>
      </c>
      <c r="C244" s="16" t="s">
        <v>42</v>
      </c>
    </row>
    <row r="245" spans="1:3">
      <c r="A245" s="13"/>
      <c r="B245" s="16" t="s">
        <v>694</v>
      </c>
      <c r="C245" s="16" t="s">
        <v>25</v>
      </c>
    </row>
    <row r="246" spans="1:3">
      <c r="A246" s="13"/>
      <c r="B246" s="16" t="s">
        <v>727</v>
      </c>
      <c r="C246" s="16" t="s">
        <v>58</v>
      </c>
    </row>
    <row r="247" spans="1:3">
      <c r="A247" s="13"/>
      <c r="B247" s="16" t="s">
        <v>674</v>
      </c>
      <c r="C247" s="16" t="s">
        <v>5</v>
      </c>
    </row>
    <row r="248" spans="1:3">
      <c r="A248" s="13"/>
      <c r="B248" s="16" t="s">
        <v>675</v>
      </c>
      <c r="C248" s="16" t="s">
        <v>6</v>
      </c>
    </row>
    <row r="249" spans="1:3">
      <c r="A249" s="13"/>
      <c r="B249" s="16" t="s">
        <v>949</v>
      </c>
      <c r="C249" s="16" t="s">
        <v>280</v>
      </c>
    </row>
    <row r="250" spans="1:3">
      <c r="A250" s="13"/>
      <c r="B250" s="16" t="s">
        <v>948</v>
      </c>
      <c r="C250" s="16" t="s">
        <v>279</v>
      </c>
    </row>
    <row r="251" spans="1:3">
      <c r="A251" s="13"/>
      <c r="B251" s="16" t="s">
        <v>744</v>
      </c>
      <c r="C251" s="16" t="s">
        <v>75</v>
      </c>
    </row>
    <row r="252" spans="1:3">
      <c r="A252" s="13"/>
      <c r="B252" s="16" t="s">
        <v>901</v>
      </c>
      <c r="C252" s="16" t="s">
        <v>231</v>
      </c>
    </row>
    <row r="253" spans="1:3">
      <c r="A253" s="13"/>
      <c r="B253" s="16" t="s">
        <v>713</v>
      </c>
      <c r="C253" s="16" t="s">
        <v>44</v>
      </c>
    </row>
    <row r="254" spans="1:3">
      <c r="A254" s="13"/>
      <c r="B254" s="16" t="s">
        <v>857</v>
      </c>
      <c r="C254" s="16" t="s">
        <v>187</v>
      </c>
    </row>
    <row r="255" spans="1:3">
      <c r="A255" s="13"/>
      <c r="B255" s="16" t="s">
        <v>904</v>
      </c>
      <c r="C255" s="16" t="s">
        <v>234</v>
      </c>
    </row>
    <row r="256" spans="1:3">
      <c r="A256" s="13"/>
      <c r="B256" s="16" t="s">
        <v>934</v>
      </c>
      <c r="C256" s="16" t="s">
        <v>264</v>
      </c>
    </row>
    <row r="257" spans="1:3">
      <c r="A257" s="13"/>
      <c r="B257" s="16" t="s">
        <v>716</v>
      </c>
      <c r="C257" s="16" t="s">
        <v>47</v>
      </c>
    </row>
    <row r="258" spans="1:3">
      <c r="A258" s="13"/>
      <c r="B258" s="16" t="s">
        <v>685</v>
      </c>
      <c r="C258" s="16" t="s">
        <v>16</v>
      </c>
    </row>
    <row r="259" spans="1:3">
      <c r="A259" s="13"/>
      <c r="B259" s="16" t="s">
        <v>931</v>
      </c>
      <c r="C259" s="16" t="s">
        <v>261</v>
      </c>
    </row>
    <row r="260" spans="1:3">
      <c r="A260" s="13"/>
      <c r="B260" s="16" t="s">
        <v>859</v>
      </c>
      <c r="C260" s="16" t="s">
        <v>189</v>
      </c>
    </row>
    <row r="261" spans="1:3">
      <c r="A261" s="13"/>
      <c r="B261" s="16" t="s">
        <v>936</v>
      </c>
      <c r="C261" s="16" t="s">
        <v>266</v>
      </c>
    </row>
    <row r="262" spans="1:3">
      <c r="A262" s="13" t="s">
        <v>1306</v>
      </c>
      <c r="B262" s="16" t="s">
        <v>742</v>
      </c>
      <c r="C262" s="16" t="s">
        <v>73</v>
      </c>
    </row>
    <row r="263" spans="1:3">
      <c r="A263" s="13"/>
      <c r="B263" s="16" t="s">
        <v>905</v>
      </c>
      <c r="C263" s="16" t="s">
        <v>235</v>
      </c>
    </row>
    <row r="264" spans="1:3">
      <c r="A264" s="13"/>
      <c r="B264" s="16" t="s">
        <v>860</v>
      </c>
      <c r="C264" s="16" t="s">
        <v>190</v>
      </c>
    </row>
    <row r="265" spans="1:3">
      <c r="A265" s="13"/>
      <c r="B265" s="16" t="s">
        <v>956</v>
      </c>
      <c r="C265" s="16" t="s">
        <v>287</v>
      </c>
    </row>
    <row r="266" spans="1:3">
      <c r="A266" s="13"/>
      <c r="B266" s="16" t="s">
        <v>972</v>
      </c>
      <c r="C266" s="16" t="s">
        <v>303</v>
      </c>
    </row>
    <row r="267" spans="1:3">
      <c r="A267" s="13"/>
      <c r="B267" s="16" t="s">
        <v>929</v>
      </c>
      <c r="C267" s="16" t="s">
        <v>259</v>
      </c>
    </row>
    <row r="268" spans="1:3">
      <c r="A268" s="13"/>
      <c r="B268" s="16" t="s">
        <v>932</v>
      </c>
      <c r="C268" s="16" t="s">
        <v>262</v>
      </c>
    </row>
    <row r="269" spans="1:3">
      <c r="A269" s="13"/>
      <c r="B269" s="16" t="s">
        <v>701</v>
      </c>
      <c r="C269" s="16" t="s">
        <v>32</v>
      </c>
    </row>
    <row r="270" spans="1:3">
      <c r="A270" s="13"/>
      <c r="B270" s="16" t="s">
        <v>732</v>
      </c>
      <c r="C270" s="16" t="s">
        <v>63</v>
      </c>
    </row>
    <row r="271" spans="1:3">
      <c r="A271" s="13"/>
      <c r="B271" s="16" t="s">
        <v>714</v>
      </c>
      <c r="C271" s="16" t="s">
        <v>45</v>
      </c>
    </row>
    <row r="272" spans="1:3">
      <c r="A272" s="13"/>
      <c r="B272" s="16" t="s">
        <v>730</v>
      </c>
      <c r="C272" s="16" t="s">
        <v>61</v>
      </c>
    </row>
    <row r="273" spans="1:3">
      <c r="A273" s="13"/>
      <c r="B273" s="16" t="s">
        <v>699</v>
      </c>
      <c r="C273" s="16" t="s">
        <v>30</v>
      </c>
    </row>
    <row r="274" spans="1:3">
      <c r="A274" s="13"/>
      <c r="B274" s="16" t="s">
        <v>933</v>
      </c>
      <c r="C274" s="16" t="s">
        <v>263</v>
      </c>
    </row>
    <row r="275" spans="1:3">
      <c r="A275" s="13"/>
      <c r="B275" s="16" t="s">
        <v>902</v>
      </c>
      <c r="C275" s="16" t="s">
        <v>232</v>
      </c>
    </row>
    <row r="276" spans="1:3">
      <c r="A276" s="13"/>
      <c r="B276" s="16" t="s">
        <v>698</v>
      </c>
      <c r="C276" s="16" t="s">
        <v>29</v>
      </c>
    </row>
    <row r="277" spans="1:3">
      <c r="A277" s="13"/>
      <c r="B277" s="16" t="s">
        <v>729</v>
      </c>
      <c r="C277" s="16" t="s">
        <v>60</v>
      </c>
    </row>
    <row r="278" spans="1:3">
      <c r="A278" s="13"/>
      <c r="B278" s="16" t="s">
        <v>935</v>
      </c>
      <c r="C278" s="16" t="s">
        <v>265</v>
      </c>
    </row>
    <row r="279" spans="1:3">
      <c r="A279" s="13"/>
      <c r="B279" s="16" t="s">
        <v>926</v>
      </c>
      <c r="C279" s="16" t="s">
        <v>256</v>
      </c>
    </row>
    <row r="280" spans="1:3">
      <c r="A280" s="13"/>
      <c r="B280" s="16" t="s">
        <v>928</v>
      </c>
      <c r="C280" s="16" t="s">
        <v>258</v>
      </c>
    </row>
    <row r="281" spans="1:3">
      <c r="A281" s="13"/>
      <c r="B281" s="16" t="s">
        <v>922</v>
      </c>
      <c r="C281" s="16" t="s">
        <v>252</v>
      </c>
    </row>
    <row r="282" spans="1:3">
      <c r="A282" s="13"/>
      <c r="B282" s="16" t="s">
        <v>923</v>
      </c>
      <c r="C282" s="16" t="s">
        <v>253</v>
      </c>
    </row>
    <row r="283" spans="1:3">
      <c r="A283" s="13"/>
      <c r="B283" s="16" t="s">
        <v>921</v>
      </c>
      <c r="C283" s="16" t="s">
        <v>251</v>
      </c>
    </row>
    <row r="284" spans="1:3">
      <c r="A284" s="13"/>
      <c r="B284" s="16" t="s">
        <v>690</v>
      </c>
      <c r="C284" s="16" t="s">
        <v>21</v>
      </c>
    </row>
    <row r="285" spans="1:3">
      <c r="A285" s="13"/>
      <c r="B285" s="16" t="s">
        <v>970</v>
      </c>
      <c r="C285" s="16" t="s">
        <v>301</v>
      </c>
    </row>
    <row r="286" spans="1:3">
      <c r="A286" s="13"/>
      <c r="B286" s="16" t="s">
        <v>927</v>
      </c>
      <c r="C286" s="16" t="s">
        <v>257</v>
      </c>
    </row>
    <row r="287" spans="1:3">
      <c r="A287" s="13"/>
      <c r="B287" s="16" t="s">
        <v>943</v>
      </c>
      <c r="C287" s="16" t="s">
        <v>274</v>
      </c>
    </row>
    <row r="288" spans="1:3">
      <c r="A288" s="13"/>
      <c r="B288" s="16" t="s">
        <v>925</v>
      </c>
      <c r="C288" s="16" t="s">
        <v>255</v>
      </c>
    </row>
    <row r="289" spans="1:3">
      <c r="A289" s="13"/>
      <c r="B289" s="16" t="s">
        <v>924</v>
      </c>
      <c r="C289" s="16" t="s">
        <v>254</v>
      </c>
    </row>
    <row r="290" spans="1:3">
      <c r="A290" s="13"/>
      <c r="B290" s="16" t="s">
        <v>870</v>
      </c>
      <c r="C290" s="16" t="s">
        <v>200</v>
      </c>
    </row>
    <row r="291" spans="1:3">
      <c r="A291" s="13"/>
      <c r="B291" s="16" t="s">
        <v>875</v>
      </c>
      <c r="C291" s="16" t="s">
        <v>205</v>
      </c>
    </row>
    <row r="292" spans="1:3">
      <c r="A292" s="13"/>
      <c r="B292" s="16" t="s">
        <v>871</v>
      </c>
      <c r="C292" s="16" t="s">
        <v>201</v>
      </c>
    </row>
    <row r="293" spans="1:3">
      <c r="A293" s="13"/>
      <c r="B293" s="16" t="s">
        <v>872</v>
      </c>
      <c r="C293" s="16" t="s">
        <v>202</v>
      </c>
    </row>
    <row r="294" spans="1:3">
      <c r="A294" s="13"/>
      <c r="B294" s="16" t="s">
        <v>876</v>
      </c>
      <c r="C294" s="16" t="s">
        <v>206</v>
      </c>
    </row>
    <row r="295" spans="1:3">
      <c r="A295" s="13"/>
      <c r="B295" s="16" t="s">
        <v>754</v>
      </c>
      <c r="C295" s="16" t="s">
        <v>84</v>
      </c>
    </row>
    <row r="296" spans="1:3">
      <c r="A296" s="13"/>
      <c r="B296" s="16" t="s">
        <v>878</v>
      </c>
      <c r="C296" s="16" t="s">
        <v>208</v>
      </c>
    </row>
    <row r="297" spans="1:3">
      <c r="A297" s="13"/>
      <c r="B297" s="16" t="s">
        <v>877</v>
      </c>
      <c r="C297" s="16" t="s">
        <v>207</v>
      </c>
    </row>
    <row r="298" spans="1:3">
      <c r="A298" s="13"/>
      <c r="B298" s="16" t="s">
        <v>873</v>
      </c>
      <c r="C298" s="16" t="s">
        <v>203</v>
      </c>
    </row>
    <row r="299" spans="1:3">
      <c r="A299" s="13"/>
      <c r="B299" s="16" t="s">
        <v>874</v>
      </c>
      <c r="C299" s="16" t="s">
        <v>204</v>
      </c>
    </row>
    <row r="300" spans="1:3">
      <c r="A300" s="13"/>
      <c r="B300" s="16" t="s">
        <v>920</v>
      </c>
      <c r="C300" s="16" t="s">
        <v>250</v>
      </c>
    </row>
    <row r="301" spans="1:3">
      <c r="A301" s="13"/>
      <c r="B301" s="16" t="s">
        <v>942</v>
      </c>
      <c r="C301" s="16" t="s">
        <v>272</v>
      </c>
    </row>
    <row r="302" spans="1:3">
      <c r="A302" s="13"/>
      <c r="B302" s="16" t="s">
        <v>944</v>
      </c>
      <c r="C302" s="16" t="s">
        <v>275</v>
      </c>
    </row>
    <row r="303" spans="1:3">
      <c r="A303" s="13"/>
      <c r="B303" s="16" t="s">
        <v>919</v>
      </c>
      <c r="C303" s="16" t="s">
        <v>249</v>
      </c>
    </row>
    <row r="304" spans="1:3">
      <c r="A304" s="13"/>
      <c r="B304" s="16" t="s">
        <v>941</v>
      </c>
      <c r="C304" s="16" t="s">
        <v>271</v>
      </c>
    </row>
    <row r="305" spans="1:3">
      <c r="A305" s="13"/>
      <c r="B305" s="16" t="s">
        <v>912</v>
      </c>
      <c r="C305" s="16" t="s">
        <v>242</v>
      </c>
    </row>
    <row r="306" spans="1:3">
      <c r="A306" s="13"/>
      <c r="B306" s="16" t="s">
        <v>911</v>
      </c>
      <c r="C306" s="16" t="s">
        <v>241</v>
      </c>
    </row>
    <row r="307" spans="1:3">
      <c r="A307" s="13"/>
      <c r="B307" s="16" t="s">
        <v>684</v>
      </c>
      <c r="C307" s="16" t="s">
        <v>15</v>
      </c>
    </row>
    <row r="308" spans="1:3">
      <c r="A308" s="13"/>
      <c r="B308" s="16" t="s">
        <v>800</v>
      </c>
      <c r="C308" s="16" t="s">
        <v>130</v>
      </c>
    </row>
    <row r="309" spans="1:3">
      <c r="A309" s="13"/>
      <c r="B309" s="16" t="s">
        <v>802</v>
      </c>
      <c r="C309" s="16" t="s">
        <v>132</v>
      </c>
    </row>
    <row r="310" spans="1:3">
      <c r="A310" s="13"/>
      <c r="B310" s="16" t="s">
        <v>801</v>
      </c>
      <c r="C310" s="16" t="s">
        <v>131</v>
      </c>
    </row>
    <row r="311" spans="1:3">
      <c r="A311" s="13"/>
      <c r="B311" s="16" t="s">
        <v>797</v>
      </c>
      <c r="C311" s="16" t="s">
        <v>127</v>
      </c>
    </row>
    <row r="312" spans="1:3">
      <c r="A312" s="13"/>
      <c r="B312" s="16" t="s">
        <v>799</v>
      </c>
      <c r="C312" s="16" t="s">
        <v>129</v>
      </c>
    </row>
    <row r="313" spans="1:3">
      <c r="A313" s="13"/>
      <c r="B313" s="16" t="s">
        <v>798</v>
      </c>
      <c r="C313" s="16" t="s">
        <v>128</v>
      </c>
    </row>
    <row r="314" spans="1:3">
      <c r="A314" s="13" t="s">
        <v>1306</v>
      </c>
      <c r="B314" s="16" t="s">
        <v>775</v>
      </c>
      <c r="C314" s="16" t="s">
        <v>105</v>
      </c>
    </row>
    <row r="315" spans="1:3">
      <c r="A315" s="13"/>
      <c r="B315" s="16" t="s">
        <v>796</v>
      </c>
      <c r="C315" s="16" t="s">
        <v>126</v>
      </c>
    </row>
    <row r="316" spans="1:3">
      <c r="A316" s="13"/>
      <c r="B316" s="16" t="s">
        <v>869</v>
      </c>
      <c r="C316" s="16" t="s">
        <v>199</v>
      </c>
    </row>
    <row r="317" spans="1:3">
      <c r="A317" s="13"/>
      <c r="B317" s="16" t="s">
        <v>868</v>
      </c>
      <c r="C317" s="16" t="s">
        <v>198</v>
      </c>
    </row>
    <row r="318" spans="1:3" ht="6" customHeight="1">
      <c r="A318" s="11"/>
      <c r="B318" s="11"/>
      <c r="C318" s="11"/>
    </row>
  </sheetData>
  <sheetProtection password="DE74" sheet="1" objects="1" scenarios="1" autoFilter="0" pivotTables="0"/>
  <sortState ref="A12:I317">
    <sortCondition ref="B12:B317"/>
  </sortState>
  <pageMargins left="0.5" right="0.5" top="0.25" bottom="0.25" header="0.16" footer="0.17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2:C212"/>
  <sheetViews>
    <sheetView workbookViewId="0">
      <selection activeCell="B1" sqref="B1:B1048576"/>
    </sheetView>
  </sheetViews>
  <sheetFormatPr defaultRowHeight="15"/>
  <cols>
    <col min="1" max="1" width="37.5703125" style="12" customWidth="1"/>
    <col min="2" max="2" width="42.42578125" style="12" customWidth="1"/>
    <col min="3" max="3" width="17.5703125" style="12" customWidth="1"/>
    <col min="4" max="9" width="0" style="12" hidden="1" customWidth="1"/>
    <col min="10" max="16384" width="9.140625" style="12"/>
  </cols>
  <sheetData>
    <row r="2" spans="1:3" s="8" customFormat="1" ht="20.25">
      <c r="A2" s="7" t="s">
        <v>1311</v>
      </c>
    </row>
    <row r="3" spans="1:3" s="8" customFormat="1" ht="20.25">
      <c r="A3" s="7" t="s">
        <v>1312</v>
      </c>
    </row>
    <row r="4" spans="1:3" s="8" customFormat="1" ht="20.25">
      <c r="A4" s="7" t="s">
        <v>1313</v>
      </c>
    </row>
    <row r="8" spans="1:3" s="9" customFormat="1">
      <c r="A8" s="23" t="s">
        <v>0</v>
      </c>
      <c r="B8" s="23" t="s">
        <v>514</v>
      </c>
    </row>
    <row r="9" spans="1:3" s="10" customFormat="1"/>
    <row r="10" spans="1:3" ht="6" customHeight="1">
      <c r="A10" s="11"/>
      <c r="B10" s="11"/>
      <c r="C10" s="11"/>
    </row>
    <row r="11" spans="1:3">
      <c r="A11" s="22" t="s">
        <v>671</v>
      </c>
      <c r="B11" s="22" t="s">
        <v>1310</v>
      </c>
      <c r="C11" s="22" t="s">
        <v>1</v>
      </c>
    </row>
    <row r="12" spans="1:3">
      <c r="A12" s="13" t="s">
        <v>1308</v>
      </c>
      <c r="B12" s="14" t="s">
        <v>1149</v>
      </c>
      <c r="C12" s="14" t="s">
        <v>483</v>
      </c>
    </row>
    <row r="13" spans="1:3">
      <c r="A13" s="13"/>
      <c r="B13" s="14" t="s">
        <v>1133</v>
      </c>
      <c r="C13" s="14" t="s">
        <v>467</v>
      </c>
    </row>
    <row r="14" spans="1:3">
      <c r="A14" s="13"/>
      <c r="B14" s="14" t="s">
        <v>1134</v>
      </c>
      <c r="C14" s="14" t="s">
        <v>468</v>
      </c>
    </row>
    <row r="15" spans="1:3">
      <c r="A15" s="13"/>
      <c r="B15" s="14" t="s">
        <v>1012</v>
      </c>
      <c r="C15" s="14" t="s">
        <v>346</v>
      </c>
    </row>
    <row r="16" spans="1:3">
      <c r="A16" s="13"/>
      <c r="B16" s="14" t="s">
        <v>1013</v>
      </c>
      <c r="C16" s="14" t="s">
        <v>347</v>
      </c>
    </row>
    <row r="17" spans="1:3">
      <c r="A17" s="13"/>
      <c r="B17" s="14" t="s">
        <v>1151</v>
      </c>
      <c r="C17" s="14" t="s">
        <v>485</v>
      </c>
    </row>
    <row r="18" spans="1:3">
      <c r="A18" s="13"/>
      <c r="B18" s="14" t="s">
        <v>1159</v>
      </c>
      <c r="C18" s="14" t="s">
        <v>493</v>
      </c>
    </row>
    <row r="19" spans="1:3">
      <c r="A19" s="13"/>
      <c r="B19" s="14" t="s">
        <v>1150</v>
      </c>
      <c r="C19" s="14" t="s">
        <v>484</v>
      </c>
    </row>
    <row r="20" spans="1:3">
      <c r="A20" s="13"/>
      <c r="B20" s="14" t="s">
        <v>1066</v>
      </c>
      <c r="C20" s="14" t="s">
        <v>400</v>
      </c>
    </row>
    <row r="21" spans="1:3">
      <c r="A21" s="13"/>
      <c r="B21" s="14" t="s">
        <v>1065</v>
      </c>
      <c r="C21" s="14" t="s">
        <v>399</v>
      </c>
    </row>
    <row r="22" spans="1:3">
      <c r="A22" s="13"/>
      <c r="B22" s="14" t="s">
        <v>1067</v>
      </c>
      <c r="C22" s="14" t="s">
        <v>401</v>
      </c>
    </row>
    <row r="23" spans="1:3">
      <c r="A23" s="13"/>
      <c r="B23" s="14" t="s">
        <v>1069</v>
      </c>
      <c r="C23" s="14" t="s">
        <v>403</v>
      </c>
    </row>
    <row r="24" spans="1:3">
      <c r="A24" s="13"/>
      <c r="B24" s="14" t="s">
        <v>1160</v>
      </c>
      <c r="C24" s="14" t="s">
        <v>494</v>
      </c>
    </row>
    <row r="25" spans="1:3">
      <c r="A25" s="13"/>
      <c r="B25" s="14" t="s">
        <v>1168</v>
      </c>
      <c r="C25" s="14" t="s">
        <v>502</v>
      </c>
    </row>
    <row r="26" spans="1:3">
      <c r="A26" s="13"/>
      <c r="B26" s="14" t="s">
        <v>2897</v>
      </c>
      <c r="C26" s="14" t="s">
        <v>2245</v>
      </c>
    </row>
    <row r="27" spans="1:3">
      <c r="A27" s="13"/>
      <c r="B27" s="14" t="s">
        <v>2898</v>
      </c>
      <c r="C27" s="14" t="s">
        <v>2248</v>
      </c>
    </row>
    <row r="28" spans="1:3">
      <c r="A28" s="13"/>
      <c r="B28" s="14" t="s">
        <v>2899</v>
      </c>
      <c r="C28" s="14" t="s">
        <v>2250</v>
      </c>
    </row>
    <row r="29" spans="1:3">
      <c r="A29" s="13"/>
      <c r="B29" s="14" t="s">
        <v>2900</v>
      </c>
      <c r="C29" s="14" t="s">
        <v>2252</v>
      </c>
    </row>
    <row r="30" spans="1:3">
      <c r="A30" s="13"/>
      <c r="B30" s="14" t="s">
        <v>1111</v>
      </c>
      <c r="C30" s="14" t="s">
        <v>445</v>
      </c>
    </row>
    <row r="31" spans="1:3">
      <c r="A31" s="13"/>
      <c r="B31" s="14" t="s">
        <v>1110</v>
      </c>
      <c r="C31" s="14" t="s">
        <v>444</v>
      </c>
    </row>
    <row r="32" spans="1:3">
      <c r="A32" s="13"/>
      <c r="B32" s="14" t="s">
        <v>1169</v>
      </c>
      <c r="C32" s="14" t="s">
        <v>503</v>
      </c>
    </row>
    <row r="33" spans="1:3">
      <c r="A33" s="13"/>
      <c r="B33" s="14" t="s">
        <v>1112</v>
      </c>
      <c r="C33" s="14" t="s">
        <v>446</v>
      </c>
    </row>
    <row r="34" spans="1:3">
      <c r="A34" s="13"/>
      <c r="B34" s="14" t="s">
        <v>1113</v>
      </c>
      <c r="C34" s="14" t="s">
        <v>447</v>
      </c>
    </row>
    <row r="35" spans="1:3">
      <c r="A35" s="13"/>
      <c r="B35" s="14" t="s">
        <v>1152</v>
      </c>
      <c r="C35" s="14" t="s">
        <v>486</v>
      </c>
    </row>
    <row r="36" spans="1:3">
      <c r="A36" s="13"/>
      <c r="B36" s="14" t="s">
        <v>1010</v>
      </c>
      <c r="C36" s="14" t="s">
        <v>344</v>
      </c>
    </row>
    <row r="37" spans="1:3">
      <c r="A37" s="13"/>
      <c r="B37" s="14" t="s">
        <v>1148</v>
      </c>
      <c r="C37" s="14" t="s">
        <v>482</v>
      </c>
    </row>
    <row r="38" spans="1:3">
      <c r="A38" s="13"/>
      <c r="B38" s="14" t="s">
        <v>1009</v>
      </c>
      <c r="C38" s="14" t="s">
        <v>343</v>
      </c>
    </row>
    <row r="39" spans="1:3">
      <c r="A39" s="13"/>
      <c r="B39" s="14" t="s">
        <v>1022</v>
      </c>
      <c r="C39" s="14" t="s">
        <v>356</v>
      </c>
    </row>
    <row r="40" spans="1:3">
      <c r="A40" s="13"/>
      <c r="B40" s="14" t="s">
        <v>1021</v>
      </c>
      <c r="C40" s="14" t="s">
        <v>355</v>
      </c>
    </row>
    <row r="41" spans="1:3">
      <c r="A41" s="13"/>
      <c r="B41" s="14" t="s">
        <v>1023</v>
      </c>
      <c r="C41" s="14" t="s">
        <v>357</v>
      </c>
    </row>
    <row r="42" spans="1:3">
      <c r="A42" s="13"/>
      <c r="B42" s="14" t="s">
        <v>1024</v>
      </c>
      <c r="C42" s="14" t="s">
        <v>358</v>
      </c>
    </row>
    <row r="43" spans="1:3">
      <c r="A43" s="13"/>
      <c r="B43" s="14" t="s">
        <v>1025</v>
      </c>
      <c r="C43" s="14" t="s">
        <v>359</v>
      </c>
    </row>
    <row r="44" spans="1:3">
      <c r="A44" s="13"/>
      <c r="B44" s="14" t="s">
        <v>1053</v>
      </c>
      <c r="C44" s="14" t="s">
        <v>387</v>
      </c>
    </row>
    <row r="45" spans="1:3">
      <c r="A45" s="13"/>
      <c r="B45" s="14" t="s">
        <v>1091</v>
      </c>
      <c r="C45" s="14" t="s">
        <v>425</v>
      </c>
    </row>
    <row r="46" spans="1:3">
      <c r="A46" s="13"/>
      <c r="B46" s="14" t="s">
        <v>1092</v>
      </c>
      <c r="C46" s="14" t="s">
        <v>426</v>
      </c>
    </row>
    <row r="47" spans="1:3">
      <c r="A47" s="13"/>
      <c r="B47" s="14" t="s">
        <v>1098</v>
      </c>
      <c r="C47" s="14" t="s">
        <v>432</v>
      </c>
    </row>
    <row r="48" spans="1:3">
      <c r="A48" s="13"/>
      <c r="B48" s="14" t="s">
        <v>1097</v>
      </c>
      <c r="C48" s="14" t="s">
        <v>431</v>
      </c>
    </row>
    <row r="49" spans="1:3">
      <c r="A49" s="13"/>
      <c r="B49" s="14" t="s">
        <v>1140</v>
      </c>
      <c r="C49" s="14" t="s">
        <v>474</v>
      </c>
    </row>
    <row r="50" spans="1:3">
      <c r="A50" s="13" t="s">
        <v>1308</v>
      </c>
      <c r="B50" s="14" t="s">
        <v>1094</v>
      </c>
      <c r="C50" s="14" t="s">
        <v>428</v>
      </c>
    </row>
    <row r="51" spans="1:3">
      <c r="A51" s="13"/>
      <c r="B51" s="14" t="s">
        <v>1141</v>
      </c>
      <c r="C51" s="14" t="s">
        <v>475</v>
      </c>
    </row>
    <row r="52" spans="1:3">
      <c r="A52" s="13"/>
      <c r="B52" s="14" t="s">
        <v>1016</v>
      </c>
      <c r="C52" s="14" t="s">
        <v>350</v>
      </c>
    </row>
    <row r="53" spans="1:3">
      <c r="A53" s="13"/>
      <c r="B53" s="14" t="s">
        <v>1015</v>
      </c>
      <c r="C53" s="14" t="s">
        <v>349</v>
      </c>
    </row>
    <row r="54" spans="1:3">
      <c r="A54" s="13"/>
      <c r="B54" s="14" t="s">
        <v>1017</v>
      </c>
      <c r="C54" s="14" t="s">
        <v>351</v>
      </c>
    </row>
    <row r="55" spans="1:3">
      <c r="A55" s="13"/>
      <c r="B55" s="14" t="s">
        <v>1002</v>
      </c>
      <c r="C55" s="14" t="s">
        <v>336</v>
      </c>
    </row>
    <row r="56" spans="1:3">
      <c r="A56" s="13"/>
      <c r="B56" s="14" t="s">
        <v>1146</v>
      </c>
      <c r="C56" s="14" t="s">
        <v>480</v>
      </c>
    </row>
    <row r="57" spans="1:3">
      <c r="A57" s="13"/>
      <c r="B57" s="14" t="s">
        <v>1164</v>
      </c>
      <c r="C57" s="14" t="s">
        <v>498</v>
      </c>
    </row>
    <row r="58" spans="1:3">
      <c r="A58" s="13"/>
      <c r="B58" s="14" t="s">
        <v>1165</v>
      </c>
      <c r="C58" s="14" t="s">
        <v>499</v>
      </c>
    </row>
    <row r="59" spans="1:3">
      <c r="A59" s="13"/>
      <c r="B59" s="14" t="s">
        <v>1076</v>
      </c>
      <c r="C59" s="14" t="s">
        <v>410</v>
      </c>
    </row>
    <row r="60" spans="1:3">
      <c r="A60" s="13"/>
      <c r="B60" s="14" t="s">
        <v>1085</v>
      </c>
      <c r="C60" s="14" t="s">
        <v>419</v>
      </c>
    </row>
    <row r="61" spans="1:3">
      <c r="A61" s="13"/>
      <c r="B61" s="14" t="s">
        <v>1077</v>
      </c>
      <c r="C61" s="14" t="s">
        <v>411</v>
      </c>
    </row>
    <row r="62" spans="1:3">
      <c r="A62" s="13"/>
      <c r="B62" s="14" t="s">
        <v>1078</v>
      </c>
      <c r="C62" s="14" t="s">
        <v>412</v>
      </c>
    </row>
    <row r="63" spans="1:3">
      <c r="A63" s="13"/>
      <c r="B63" s="14" t="s">
        <v>1086</v>
      </c>
      <c r="C63" s="14" t="s">
        <v>420</v>
      </c>
    </row>
    <row r="64" spans="1:3">
      <c r="A64" s="13"/>
      <c r="B64" s="14" t="s">
        <v>1079</v>
      </c>
      <c r="C64" s="14" t="s">
        <v>413</v>
      </c>
    </row>
    <row r="65" spans="1:3">
      <c r="A65" s="13"/>
      <c r="B65" s="14" t="s">
        <v>1088</v>
      </c>
      <c r="C65" s="14" t="s">
        <v>422</v>
      </c>
    </row>
    <row r="66" spans="1:3">
      <c r="A66" s="13"/>
      <c r="B66" s="14" t="s">
        <v>1087</v>
      </c>
      <c r="C66" s="14" t="s">
        <v>421</v>
      </c>
    </row>
    <row r="67" spans="1:3">
      <c r="A67" s="13"/>
      <c r="B67" s="14" t="s">
        <v>1089</v>
      </c>
      <c r="C67" s="14" t="s">
        <v>423</v>
      </c>
    </row>
    <row r="68" spans="1:3">
      <c r="A68" s="13"/>
      <c r="B68" s="14" t="s">
        <v>1026</v>
      </c>
      <c r="C68" s="14" t="s">
        <v>360</v>
      </c>
    </row>
    <row r="69" spans="1:3">
      <c r="A69" s="13"/>
      <c r="B69" s="14" t="s">
        <v>1115</v>
      </c>
      <c r="C69" s="14" t="s">
        <v>449</v>
      </c>
    </row>
    <row r="70" spans="1:3">
      <c r="A70" s="13"/>
      <c r="B70" s="14" t="s">
        <v>1116</v>
      </c>
      <c r="C70" s="14" t="s">
        <v>450</v>
      </c>
    </row>
    <row r="71" spans="1:3">
      <c r="A71" s="13"/>
      <c r="B71" s="14" t="s">
        <v>1117</v>
      </c>
      <c r="C71" s="14" t="s">
        <v>451</v>
      </c>
    </row>
    <row r="72" spans="1:3">
      <c r="A72" s="13"/>
      <c r="B72" s="14" t="s">
        <v>1118</v>
      </c>
      <c r="C72" s="14" t="s">
        <v>452</v>
      </c>
    </row>
    <row r="73" spans="1:3">
      <c r="A73" s="13"/>
      <c r="B73" s="14" t="s">
        <v>1027</v>
      </c>
      <c r="C73" s="14" t="s">
        <v>361</v>
      </c>
    </row>
    <row r="74" spans="1:3">
      <c r="A74" s="13"/>
      <c r="B74" s="14" t="s">
        <v>1119</v>
      </c>
      <c r="C74" s="14" t="s">
        <v>453</v>
      </c>
    </row>
    <row r="75" spans="1:3">
      <c r="A75" s="13"/>
      <c r="B75" s="14" t="s">
        <v>1120</v>
      </c>
      <c r="C75" s="14" t="s">
        <v>454</v>
      </c>
    </row>
    <row r="76" spans="1:3">
      <c r="A76" s="13"/>
      <c r="B76" s="14" t="s">
        <v>1121</v>
      </c>
      <c r="C76" s="14" t="s">
        <v>455</v>
      </c>
    </row>
    <row r="77" spans="1:3">
      <c r="A77" s="13"/>
      <c r="B77" s="14" t="s">
        <v>1122</v>
      </c>
      <c r="C77" s="14" t="s">
        <v>456</v>
      </c>
    </row>
    <row r="78" spans="1:3">
      <c r="A78" s="13"/>
      <c r="B78" s="14" t="s">
        <v>1123</v>
      </c>
      <c r="C78" s="14" t="s">
        <v>457</v>
      </c>
    </row>
    <row r="79" spans="1:3">
      <c r="A79" s="13"/>
      <c r="B79" s="14" t="s">
        <v>1124</v>
      </c>
      <c r="C79" s="14" t="s">
        <v>458</v>
      </c>
    </row>
    <row r="80" spans="1:3">
      <c r="A80" s="13"/>
      <c r="B80" s="14" t="s">
        <v>1028</v>
      </c>
      <c r="C80" s="14" t="s">
        <v>362</v>
      </c>
    </row>
    <row r="81" spans="1:3">
      <c r="A81" s="13"/>
      <c r="B81" s="14" t="s">
        <v>1029</v>
      </c>
      <c r="C81" s="14" t="s">
        <v>363</v>
      </c>
    </row>
    <row r="82" spans="1:3">
      <c r="A82" s="13"/>
      <c r="B82" s="14" t="s">
        <v>1054</v>
      </c>
      <c r="C82" s="14" t="s">
        <v>388</v>
      </c>
    </row>
    <row r="83" spans="1:3">
      <c r="A83" s="13"/>
      <c r="B83" s="14" t="s">
        <v>1055</v>
      </c>
      <c r="C83" s="14" t="s">
        <v>389</v>
      </c>
    </row>
    <row r="84" spans="1:3">
      <c r="A84" s="13"/>
      <c r="B84" s="14" t="s">
        <v>1056</v>
      </c>
      <c r="C84" s="14" t="s">
        <v>390</v>
      </c>
    </row>
    <row r="85" spans="1:3">
      <c r="A85" s="13"/>
      <c r="B85" s="14" t="s">
        <v>1126</v>
      </c>
      <c r="C85" s="14" t="s">
        <v>460</v>
      </c>
    </row>
    <row r="86" spans="1:3">
      <c r="A86" s="13"/>
      <c r="B86" s="14" t="s">
        <v>1125</v>
      </c>
      <c r="C86" s="14" t="s">
        <v>459</v>
      </c>
    </row>
    <row r="87" spans="1:3">
      <c r="A87" s="13"/>
      <c r="B87" s="14" t="s">
        <v>1127</v>
      </c>
      <c r="C87" s="14" t="s">
        <v>461</v>
      </c>
    </row>
    <row r="88" spans="1:3">
      <c r="A88" s="13"/>
      <c r="B88" s="14" t="s">
        <v>1128</v>
      </c>
      <c r="C88" s="14" t="s">
        <v>462</v>
      </c>
    </row>
    <row r="89" spans="1:3">
      <c r="A89" s="13"/>
      <c r="B89" s="14" t="s">
        <v>1129</v>
      </c>
      <c r="C89" s="14" t="s">
        <v>463</v>
      </c>
    </row>
    <row r="90" spans="1:3">
      <c r="A90" s="13"/>
      <c r="B90" s="14" t="s">
        <v>1130</v>
      </c>
      <c r="C90" s="14" t="s">
        <v>464</v>
      </c>
    </row>
    <row r="91" spans="1:3">
      <c r="A91" s="13"/>
      <c r="B91" s="14" t="s">
        <v>1131</v>
      </c>
      <c r="C91" s="14" t="s">
        <v>465</v>
      </c>
    </row>
    <row r="92" spans="1:3">
      <c r="A92" s="13"/>
      <c r="B92" s="14" t="s">
        <v>1132</v>
      </c>
      <c r="C92" s="14" t="s">
        <v>466</v>
      </c>
    </row>
    <row r="93" spans="1:3">
      <c r="A93" s="13"/>
      <c r="B93" s="14" t="s">
        <v>1135</v>
      </c>
      <c r="C93" s="14" t="s">
        <v>469</v>
      </c>
    </row>
    <row r="94" spans="1:3">
      <c r="A94" s="13"/>
      <c r="B94" s="14" t="s">
        <v>1136</v>
      </c>
      <c r="C94" s="14" t="s">
        <v>470</v>
      </c>
    </row>
    <row r="95" spans="1:3">
      <c r="A95" s="13"/>
      <c r="B95" s="14" t="s">
        <v>1101</v>
      </c>
      <c r="C95" s="14" t="s">
        <v>435</v>
      </c>
    </row>
    <row r="96" spans="1:3">
      <c r="A96" s="13"/>
      <c r="B96" s="14" t="s">
        <v>1102</v>
      </c>
      <c r="C96" s="14" t="s">
        <v>436</v>
      </c>
    </row>
    <row r="97" spans="1:3">
      <c r="A97" s="13"/>
      <c r="B97" s="14" t="s">
        <v>1030</v>
      </c>
      <c r="C97" s="14" t="s">
        <v>364</v>
      </c>
    </row>
    <row r="98" spans="1:3">
      <c r="A98" s="13"/>
      <c r="B98" s="14" t="s">
        <v>1103</v>
      </c>
      <c r="C98" s="14" t="s">
        <v>437</v>
      </c>
    </row>
    <row r="99" spans="1:3">
      <c r="A99" s="13" t="s">
        <v>1308</v>
      </c>
      <c r="B99" s="14" t="s">
        <v>1031</v>
      </c>
      <c r="C99" s="14" t="s">
        <v>365</v>
      </c>
    </row>
    <row r="100" spans="1:3">
      <c r="A100" s="13"/>
      <c r="B100" s="14" t="s">
        <v>1032</v>
      </c>
      <c r="C100" s="14" t="s">
        <v>366</v>
      </c>
    </row>
    <row r="101" spans="1:3">
      <c r="A101" s="13"/>
      <c r="B101" s="14" t="s">
        <v>1033</v>
      </c>
      <c r="C101" s="14" t="s">
        <v>367</v>
      </c>
    </row>
    <row r="102" spans="1:3">
      <c r="A102" s="13"/>
      <c r="B102" s="14" t="s">
        <v>1060</v>
      </c>
      <c r="C102" s="14" t="s">
        <v>394</v>
      </c>
    </row>
    <row r="103" spans="1:3">
      <c r="A103" s="13"/>
      <c r="B103" s="14" t="s">
        <v>1158</v>
      </c>
      <c r="C103" s="14" t="s">
        <v>492</v>
      </c>
    </row>
    <row r="104" spans="1:3">
      <c r="A104" s="13"/>
      <c r="B104" s="14" t="s">
        <v>1157</v>
      </c>
      <c r="C104" s="14" t="s">
        <v>491</v>
      </c>
    </row>
    <row r="105" spans="1:3">
      <c r="A105" s="13"/>
      <c r="B105" s="14" t="s">
        <v>1037</v>
      </c>
      <c r="C105" s="14" t="s">
        <v>371</v>
      </c>
    </row>
    <row r="106" spans="1:3">
      <c r="A106" s="13"/>
      <c r="B106" s="14" t="s">
        <v>1036</v>
      </c>
      <c r="C106" s="14" t="s">
        <v>370</v>
      </c>
    </row>
    <row r="107" spans="1:3">
      <c r="A107" s="13"/>
      <c r="B107" s="14" t="s">
        <v>1038</v>
      </c>
      <c r="C107" s="14" t="s">
        <v>372</v>
      </c>
    </row>
    <row r="108" spans="1:3">
      <c r="A108" s="13"/>
      <c r="B108" s="14" t="s">
        <v>1039</v>
      </c>
      <c r="C108" s="14" t="s">
        <v>373</v>
      </c>
    </row>
    <row r="109" spans="1:3">
      <c r="A109" s="13"/>
      <c r="B109" s="14" t="s">
        <v>1040</v>
      </c>
      <c r="C109" s="14" t="s">
        <v>374</v>
      </c>
    </row>
    <row r="110" spans="1:3">
      <c r="A110" s="13"/>
      <c r="B110" s="14" t="s">
        <v>1041</v>
      </c>
      <c r="C110" s="14" t="s">
        <v>375</v>
      </c>
    </row>
    <row r="111" spans="1:3">
      <c r="A111" s="13"/>
      <c r="B111" s="14" t="s">
        <v>1042</v>
      </c>
      <c r="C111" s="14" t="s">
        <v>376</v>
      </c>
    </row>
    <row r="112" spans="1:3">
      <c r="A112" s="13"/>
      <c r="B112" s="14" t="s">
        <v>1043</v>
      </c>
      <c r="C112" s="14" t="s">
        <v>377</v>
      </c>
    </row>
    <row r="113" spans="1:3">
      <c r="A113" s="13"/>
      <c r="B113" s="14" t="s">
        <v>1044</v>
      </c>
      <c r="C113" s="14" t="s">
        <v>378</v>
      </c>
    </row>
    <row r="114" spans="1:3">
      <c r="A114" s="13"/>
      <c r="B114" s="14" t="s">
        <v>1045</v>
      </c>
      <c r="C114" s="14" t="s">
        <v>379</v>
      </c>
    </row>
    <row r="115" spans="1:3">
      <c r="A115" s="13"/>
      <c r="B115" s="14" t="s">
        <v>1046</v>
      </c>
      <c r="C115" s="14" t="s">
        <v>380</v>
      </c>
    </row>
    <row r="116" spans="1:3">
      <c r="A116" s="13"/>
      <c r="B116" s="14" t="s">
        <v>1063</v>
      </c>
      <c r="C116" s="14" t="s">
        <v>397</v>
      </c>
    </row>
    <row r="117" spans="1:3">
      <c r="A117" s="13"/>
      <c r="B117" s="14" t="s">
        <v>1064</v>
      </c>
      <c r="C117" s="14" t="s">
        <v>398</v>
      </c>
    </row>
    <row r="118" spans="1:3">
      <c r="A118" s="13"/>
      <c r="B118" s="14" t="s">
        <v>1070</v>
      </c>
      <c r="C118" s="14" t="s">
        <v>404</v>
      </c>
    </row>
    <row r="119" spans="1:3">
      <c r="A119" s="13"/>
      <c r="B119" s="14" t="s">
        <v>1071</v>
      </c>
      <c r="C119" s="14" t="s">
        <v>405</v>
      </c>
    </row>
    <row r="120" spans="1:3">
      <c r="A120" s="13"/>
      <c r="B120" s="14" t="s">
        <v>1145</v>
      </c>
      <c r="C120" s="14" t="s">
        <v>479</v>
      </c>
    </row>
    <row r="121" spans="1:3">
      <c r="A121" s="13"/>
      <c r="B121" s="14" t="s">
        <v>1144</v>
      </c>
      <c r="C121" s="14" t="s">
        <v>478</v>
      </c>
    </row>
    <row r="122" spans="1:3">
      <c r="A122" s="13"/>
      <c r="B122" s="14" t="s">
        <v>1093</v>
      </c>
      <c r="C122" s="14" t="s">
        <v>427</v>
      </c>
    </row>
    <row r="123" spans="1:3">
      <c r="A123" s="13"/>
      <c r="B123" s="14" t="s">
        <v>1138</v>
      </c>
      <c r="C123" s="14" t="s">
        <v>472</v>
      </c>
    </row>
    <row r="124" spans="1:3">
      <c r="A124" s="13"/>
      <c r="B124" s="14" t="s">
        <v>1137</v>
      </c>
      <c r="C124" s="14" t="s">
        <v>471</v>
      </c>
    </row>
    <row r="125" spans="1:3">
      <c r="A125" s="13"/>
      <c r="B125" s="14" t="s">
        <v>1139</v>
      </c>
      <c r="C125" s="14" t="s">
        <v>473</v>
      </c>
    </row>
    <row r="126" spans="1:3">
      <c r="A126" s="13"/>
      <c r="B126" s="14" t="s">
        <v>1095</v>
      </c>
      <c r="C126" s="14" t="s">
        <v>429</v>
      </c>
    </row>
    <row r="127" spans="1:3">
      <c r="A127" s="13"/>
      <c r="B127" s="14" t="s">
        <v>1099</v>
      </c>
      <c r="C127" s="14" t="s">
        <v>433</v>
      </c>
    </row>
    <row r="128" spans="1:3">
      <c r="A128" s="13"/>
      <c r="B128" s="14" t="s">
        <v>1014</v>
      </c>
      <c r="C128" s="14" t="s">
        <v>348</v>
      </c>
    </row>
    <row r="129" spans="1:3">
      <c r="A129" s="13"/>
      <c r="B129" s="14" t="s">
        <v>1018</v>
      </c>
      <c r="C129" s="14" t="s">
        <v>352</v>
      </c>
    </row>
    <row r="130" spans="1:3">
      <c r="A130" s="13"/>
      <c r="B130" s="14" t="s">
        <v>1049</v>
      </c>
      <c r="C130" s="14" t="s">
        <v>383</v>
      </c>
    </row>
    <row r="131" spans="1:3">
      <c r="A131" s="13"/>
      <c r="B131" s="14" t="s">
        <v>1048</v>
      </c>
      <c r="C131" s="14" t="s">
        <v>382</v>
      </c>
    </row>
    <row r="132" spans="1:3">
      <c r="A132" s="13"/>
      <c r="B132" s="14" t="s">
        <v>1019</v>
      </c>
      <c r="C132" s="14" t="s">
        <v>353</v>
      </c>
    </row>
    <row r="133" spans="1:3">
      <c r="A133" s="13"/>
      <c r="B133" s="14" t="s">
        <v>1020</v>
      </c>
      <c r="C133" s="14" t="s">
        <v>354</v>
      </c>
    </row>
    <row r="134" spans="1:3">
      <c r="A134" s="13"/>
      <c r="B134" s="14" t="s">
        <v>1050</v>
      </c>
      <c r="C134" s="14" t="s">
        <v>384</v>
      </c>
    </row>
    <row r="135" spans="1:3">
      <c r="A135" s="13"/>
      <c r="B135" s="14" t="s">
        <v>1051</v>
      </c>
      <c r="C135" s="14" t="s">
        <v>385</v>
      </c>
    </row>
    <row r="136" spans="1:3">
      <c r="A136" s="13"/>
      <c r="B136" s="14" t="s">
        <v>1052</v>
      </c>
      <c r="C136" s="14" t="s">
        <v>386</v>
      </c>
    </row>
    <row r="137" spans="1:3">
      <c r="A137" s="13"/>
      <c r="B137" s="14" t="s">
        <v>1147</v>
      </c>
      <c r="C137" s="14" t="s">
        <v>481</v>
      </c>
    </row>
    <row r="138" spans="1:3">
      <c r="A138" s="13"/>
      <c r="B138" s="14" t="s">
        <v>1073</v>
      </c>
      <c r="C138" s="14" t="s">
        <v>407</v>
      </c>
    </row>
    <row r="139" spans="1:3">
      <c r="A139" s="13"/>
      <c r="B139" s="14" t="s">
        <v>1072</v>
      </c>
      <c r="C139" s="14" t="s">
        <v>406</v>
      </c>
    </row>
    <row r="140" spans="1:3">
      <c r="A140" s="13"/>
      <c r="B140" s="14" t="s">
        <v>1074</v>
      </c>
      <c r="C140" s="14" t="s">
        <v>408</v>
      </c>
    </row>
    <row r="141" spans="1:3">
      <c r="A141" s="13"/>
      <c r="B141" s="14" t="s">
        <v>1080</v>
      </c>
      <c r="C141" s="14" t="s">
        <v>414</v>
      </c>
    </row>
    <row r="142" spans="1:3">
      <c r="A142" s="13"/>
      <c r="B142" s="14" t="s">
        <v>1075</v>
      </c>
      <c r="C142" s="14" t="s">
        <v>409</v>
      </c>
    </row>
    <row r="143" spans="1:3">
      <c r="A143" s="13"/>
      <c r="B143" s="14" t="s">
        <v>1081</v>
      </c>
      <c r="C143" s="14" t="s">
        <v>415</v>
      </c>
    </row>
    <row r="144" spans="1:3">
      <c r="A144" s="13"/>
      <c r="B144" s="14" t="s">
        <v>1156</v>
      </c>
      <c r="C144" s="14" t="s">
        <v>490</v>
      </c>
    </row>
    <row r="145" spans="1:3">
      <c r="A145" s="13"/>
      <c r="B145" s="14" t="s">
        <v>1155</v>
      </c>
      <c r="C145" s="14" t="s">
        <v>489</v>
      </c>
    </row>
    <row r="146" spans="1:3">
      <c r="A146" s="13"/>
      <c r="B146" s="14" t="s">
        <v>1105</v>
      </c>
      <c r="C146" s="14" t="s">
        <v>439</v>
      </c>
    </row>
    <row r="147" spans="1:3">
      <c r="A147" s="13"/>
      <c r="B147" s="14" t="s">
        <v>1104</v>
      </c>
      <c r="C147" s="14" t="s">
        <v>438</v>
      </c>
    </row>
    <row r="148" spans="1:3">
      <c r="A148" s="13" t="s">
        <v>1308</v>
      </c>
      <c r="B148" s="14" t="s">
        <v>1082</v>
      </c>
      <c r="C148" s="14" t="s">
        <v>416</v>
      </c>
    </row>
    <row r="149" spans="1:3">
      <c r="A149" s="13"/>
      <c r="B149" s="14" t="s">
        <v>1083</v>
      </c>
      <c r="C149" s="14" t="s">
        <v>417</v>
      </c>
    </row>
    <row r="150" spans="1:3">
      <c r="A150" s="13"/>
      <c r="B150" s="14" t="s">
        <v>1106</v>
      </c>
      <c r="C150" s="14" t="s">
        <v>440</v>
      </c>
    </row>
    <row r="151" spans="1:3">
      <c r="A151" s="13"/>
      <c r="B151" s="14" t="s">
        <v>1107</v>
      </c>
      <c r="C151" s="14" t="s">
        <v>441</v>
      </c>
    </row>
    <row r="152" spans="1:3">
      <c r="A152" s="13"/>
      <c r="B152" s="14" t="s">
        <v>1108</v>
      </c>
      <c r="C152" s="14" t="s">
        <v>442</v>
      </c>
    </row>
    <row r="153" spans="1:3">
      <c r="A153" s="13"/>
      <c r="B153" s="14" t="s">
        <v>1109</v>
      </c>
      <c r="C153" s="14" t="s">
        <v>443</v>
      </c>
    </row>
    <row r="154" spans="1:3">
      <c r="A154" s="13"/>
      <c r="B154" s="14" t="s">
        <v>1114</v>
      </c>
      <c r="C154" s="14" t="s">
        <v>448</v>
      </c>
    </row>
    <row r="155" spans="1:3">
      <c r="A155" s="13"/>
      <c r="B155" s="14" t="s">
        <v>1001</v>
      </c>
      <c r="C155" s="14" t="s">
        <v>334</v>
      </c>
    </row>
    <row r="156" spans="1:3">
      <c r="A156" s="13"/>
      <c r="B156" s="14" t="s">
        <v>1000</v>
      </c>
      <c r="C156" s="14" t="s">
        <v>333</v>
      </c>
    </row>
    <row r="157" spans="1:3">
      <c r="A157" s="13"/>
      <c r="B157" s="14" t="s">
        <v>1100</v>
      </c>
      <c r="C157" s="14" t="s">
        <v>434</v>
      </c>
    </row>
    <row r="158" spans="1:3">
      <c r="A158" s="13"/>
      <c r="B158" s="14" t="s">
        <v>1179</v>
      </c>
      <c r="C158" s="14" t="s">
        <v>513</v>
      </c>
    </row>
    <row r="159" spans="1:3">
      <c r="A159" s="13"/>
      <c r="B159" s="14" t="s">
        <v>1143</v>
      </c>
      <c r="C159" s="14" t="s">
        <v>477</v>
      </c>
    </row>
    <row r="160" spans="1:3">
      <c r="A160" s="13"/>
      <c r="B160" s="14" t="s">
        <v>1161</v>
      </c>
      <c r="C160" s="14" t="s">
        <v>495</v>
      </c>
    </row>
    <row r="161" spans="1:3">
      <c r="A161" s="13"/>
      <c r="B161" s="14" t="s">
        <v>1162</v>
      </c>
      <c r="C161" s="14" t="s">
        <v>496</v>
      </c>
    </row>
    <row r="162" spans="1:3">
      <c r="A162" s="13"/>
      <c r="B162" s="14" t="s">
        <v>1176</v>
      </c>
      <c r="C162" s="14" t="s">
        <v>510</v>
      </c>
    </row>
    <row r="163" spans="1:3">
      <c r="A163" s="13"/>
      <c r="B163" s="14" t="s">
        <v>1175</v>
      </c>
      <c r="C163" s="14" t="s">
        <v>509</v>
      </c>
    </row>
    <row r="164" spans="1:3">
      <c r="A164" s="13"/>
      <c r="B164" s="14" t="s">
        <v>1174</v>
      </c>
      <c r="C164" s="14" t="s">
        <v>508</v>
      </c>
    </row>
    <row r="165" spans="1:3">
      <c r="A165" s="13"/>
      <c r="B165" s="14" t="s">
        <v>1163</v>
      </c>
      <c r="C165" s="14" t="s">
        <v>497</v>
      </c>
    </row>
    <row r="166" spans="1:3">
      <c r="A166" s="13"/>
      <c r="B166" s="14" t="s">
        <v>995</v>
      </c>
      <c r="C166" s="14" t="s">
        <v>328</v>
      </c>
    </row>
    <row r="167" spans="1:3">
      <c r="A167" s="13"/>
      <c r="B167" s="14" t="s">
        <v>996</v>
      </c>
      <c r="C167" s="14" t="s">
        <v>329</v>
      </c>
    </row>
    <row r="168" spans="1:3">
      <c r="A168" s="13"/>
      <c r="B168" s="14" t="s">
        <v>994</v>
      </c>
      <c r="C168" s="14" t="s">
        <v>327</v>
      </c>
    </row>
    <row r="169" spans="1:3">
      <c r="A169" s="13"/>
      <c r="B169" s="14" t="s">
        <v>993</v>
      </c>
      <c r="C169" s="14" t="s">
        <v>326</v>
      </c>
    </row>
    <row r="170" spans="1:3">
      <c r="A170" s="13"/>
      <c r="B170" s="14" t="s">
        <v>997</v>
      </c>
      <c r="C170" s="14" t="s">
        <v>330</v>
      </c>
    </row>
    <row r="171" spans="1:3">
      <c r="A171" s="13"/>
      <c r="B171" s="14" t="s">
        <v>998</v>
      </c>
      <c r="C171" s="14" t="s">
        <v>331</v>
      </c>
    </row>
    <row r="172" spans="1:3">
      <c r="A172" s="13"/>
      <c r="B172" s="14" t="s">
        <v>999</v>
      </c>
      <c r="C172" s="14" t="s">
        <v>332</v>
      </c>
    </row>
    <row r="173" spans="1:3">
      <c r="A173" s="13"/>
      <c r="B173" s="14" t="s">
        <v>1003</v>
      </c>
      <c r="C173" s="14" t="s">
        <v>337</v>
      </c>
    </row>
    <row r="174" spans="1:3">
      <c r="A174" s="13"/>
      <c r="B174" s="14" t="s">
        <v>1084</v>
      </c>
      <c r="C174" s="14" t="s">
        <v>418</v>
      </c>
    </row>
    <row r="175" spans="1:3">
      <c r="A175" s="13"/>
      <c r="B175" s="14" t="s">
        <v>1062</v>
      </c>
      <c r="C175" s="14" t="s">
        <v>396</v>
      </c>
    </row>
    <row r="176" spans="1:3">
      <c r="A176" s="13"/>
      <c r="B176" s="14" t="s">
        <v>1061</v>
      </c>
      <c r="C176" s="14" t="s">
        <v>395</v>
      </c>
    </row>
    <row r="177" spans="1:3">
      <c r="A177" s="13"/>
      <c r="B177" s="14" t="s">
        <v>1034</v>
      </c>
      <c r="C177" s="14" t="s">
        <v>368</v>
      </c>
    </row>
    <row r="178" spans="1:3">
      <c r="A178" s="13"/>
      <c r="B178" s="14" t="s">
        <v>1035</v>
      </c>
      <c r="C178" s="14" t="s">
        <v>369</v>
      </c>
    </row>
    <row r="179" spans="1:3">
      <c r="A179" s="13"/>
      <c r="B179" s="14" t="s">
        <v>1047</v>
      </c>
      <c r="C179" s="14" t="s">
        <v>381</v>
      </c>
    </row>
    <row r="180" spans="1:3">
      <c r="A180" s="13"/>
      <c r="B180" s="14" t="s">
        <v>1142</v>
      </c>
      <c r="C180" s="14" t="s">
        <v>476</v>
      </c>
    </row>
    <row r="181" spans="1:3">
      <c r="A181" s="13"/>
      <c r="B181" s="14" t="s">
        <v>1178</v>
      </c>
      <c r="C181" s="14" t="s">
        <v>512</v>
      </c>
    </row>
    <row r="182" spans="1:3">
      <c r="A182" s="13"/>
      <c r="B182" s="14" t="s">
        <v>1177</v>
      </c>
      <c r="C182" s="14" t="s">
        <v>511</v>
      </c>
    </row>
    <row r="183" spans="1:3">
      <c r="A183" s="13"/>
      <c r="B183" s="14" t="s">
        <v>1096</v>
      </c>
      <c r="C183" s="14" t="s">
        <v>430</v>
      </c>
    </row>
    <row r="184" spans="1:3">
      <c r="A184" s="13"/>
      <c r="B184" s="14" t="s">
        <v>1011</v>
      </c>
      <c r="C184" s="14" t="s">
        <v>345</v>
      </c>
    </row>
    <row r="185" spans="1:3">
      <c r="A185" s="13"/>
      <c r="B185" s="14" t="s">
        <v>1170</v>
      </c>
      <c r="C185" s="14" t="s">
        <v>504</v>
      </c>
    </row>
    <row r="186" spans="1:3">
      <c r="A186" s="13"/>
      <c r="B186" s="14" t="s">
        <v>1090</v>
      </c>
      <c r="C186" s="14" t="s">
        <v>424</v>
      </c>
    </row>
    <row r="187" spans="1:3">
      <c r="A187" s="13"/>
      <c r="B187" s="14" t="s">
        <v>2901</v>
      </c>
      <c r="C187" s="14" t="s">
        <v>335</v>
      </c>
    </row>
    <row r="188" spans="1:3">
      <c r="A188" s="13"/>
      <c r="B188" s="14" t="s">
        <v>2902</v>
      </c>
      <c r="C188" s="14" t="s">
        <v>2434</v>
      </c>
    </row>
    <row r="189" spans="1:3">
      <c r="A189" s="13"/>
      <c r="B189" s="14" t="s">
        <v>1172</v>
      </c>
      <c r="C189" s="14" t="s">
        <v>506</v>
      </c>
    </row>
    <row r="190" spans="1:3">
      <c r="A190" s="13"/>
      <c r="B190" s="14" t="s">
        <v>1173</v>
      </c>
      <c r="C190" s="14" t="s">
        <v>507</v>
      </c>
    </row>
    <row r="191" spans="1:3">
      <c r="A191" s="13"/>
      <c r="B191" s="14" t="s">
        <v>1171</v>
      </c>
      <c r="C191" s="14" t="s">
        <v>505</v>
      </c>
    </row>
    <row r="192" spans="1:3">
      <c r="A192" s="13"/>
      <c r="B192" s="14" t="s">
        <v>1068</v>
      </c>
      <c r="C192" s="14" t="s">
        <v>402</v>
      </c>
    </row>
    <row r="193" spans="1:3">
      <c r="A193" s="13"/>
      <c r="B193" s="14" t="s">
        <v>1166</v>
      </c>
      <c r="C193" s="14" t="s">
        <v>500</v>
      </c>
    </row>
    <row r="194" spans="1:3">
      <c r="A194" s="13"/>
      <c r="B194" s="14" t="s">
        <v>1167</v>
      </c>
      <c r="C194" s="14" t="s">
        <v>501</v>
      </c>
    </row>
    <row r="195" spans="1:3">
      <c r="A195" s="13"/>
      <c r="B195" s="14" t="s">
        <v>1004</v>
      </c>
      <c r="C195" s="14" t="s">
        <v>338</v>
      </c>
    </row>
    <row r="196" spans="1:3">
      <c r="A196" s="13"/>
      <c r="B196" s="14" t="s">
        <v>1005</v>
      </c>
      <c r="C196" s="14" t="s">
        <v>339</v>
      </c>
    </row>
    <row r="197" spans="1:3">
      <c r="A197" s="13" t="s">
        <v>1308</v>
      </c>
      <c r="B197" s="14" t="s">
        <v>1006</v>
      </c>
      <c r="C197" s="14" t="s">
        <v>340</v>
      </c>
    </row>
    <row r="198" spans="1:3">
      <c r="A198" s="13"/>
      <c r="B198" s="14" t="s">
        <v>1007</v>
      </c>
      <c r="C198" s="14" t="s">
        <v>341</v>
      </c>
    </row>
    <row r="199" spans="1:3">
      <c r="A199" s="13"/>
      <c r="B199" s="14" t="s">
        <v>1008</v>
      </c>
      <c r="C199" s="14" t="s">
        <v>342</v>
      </c>
    </row>
    <row r="200" spans="1:3">
      <c r="A200" s="13"/>
      <c r="B200" s="14" t="s">
        <v>1058</v>
      </c>
      <c r="C200" s="14" t="s">
        <v>392</v>
      </c>
    </row>
    <row r="201" spans="1:3">
      <c r="A201" s="13"/>
      <c r="B201" s="14" t="s">
        <v>1057</v>
      </c>
      <c r="C201" s="14" t="s">
        <v>391</v>
      </c>
    </row>
    <row r="202" spans="1:3">
      <c r="A202" s="13"/>
      <c r="B202" s="14" t="s">
        <v>2903</v>
      </c>
      <c r="C202" s="14" t="s">
        <v>2447</v>
      </c>
    </row>
    <row r="203" spans="1:3">
      <c r="A203" s="13"/>
      <c r="B203" s="14" t="s">
        <v>2904</v>
      </c>
      <c r="C203" s="14" t="s">
        <v>2448</v>
      </c>
    </row>
    <row r="204" spans="1:3">
      <c r="A204" s="13"/>
      <c r="B204" s="14" t="s">
        <v>2905</v>
      </c>
      <c r="C204" s="14" t="s">
        <v>2449</v>
      </c>
    </row>
    <row r="205" spans="1:3">
      <c r="A205" s="13"/>
      <c r="B205" s="14" t="s">
        <v>2906</v>
      </c>
      <c r="C205" s="14" t="s">
        <v>2450</v>
      </c>
    </row>
    <row r="206" spans="1:3">
      <c r="A206" s="13"/>
      <c r="B206" s="14" t="s">
        <v>2907</v>
      </c>
      <c r="C206" s="14" t="s">
        <v>2452</v>
      </c>
    </row>
    <row r="207" spans="1:3">
      <c r="A207" s="13"/>
      <c r="B207" s="14" t="s">
        <v>2908</v>
      </c>
      <c r="C207" s="14" t="s">
        <v>2453</v>
      </c>
    </row>
    <row r="208" spans="1:3">
      <c r="A208" s="13"/>
      <c r="B208" s="14" t="s">
        <v>1059</v>
      </c>
      <c r="C208" s="14" t="s">
        <v>393</v>
      </c>
    </row>
    <row r="209" spans="1:3">
      <c r="A209" s="13"/>
      <c r="B209" s="14" t="s">
        <v>2909</v>
      </c>
      <c r="C209" s="14" t="s">
        <v>2456</v>
      </c>
    </row>
    <row r="210" spans="1:3">
      <c r="A210" s="13"/>
      <c r="B210" s="14" t="s">
        <v>1154</v>
      </c>
      <c r="C210" s="14" t="s">
        <v>488</v>
      </c>
    </row>
    <row r="211" spans="1:3">
      <c r="A211" s="13"/>
      <c r="B211" s="14" t="s">
        <v>1153</v>
      </c>
      <c r="C211" s="14" t="s">
        <v>487</v>
      </c>
    </row>
    <row r="212" spans="1:3" ht="6" customHeight="1">
      <c r="A212" s="11"/>
      <c r="B212" s="11"/>
      <c r="C212" s="11"/>
    </row>
  </sheetData>
  <sheetProtection password="DE74" sheet="1" objects="1" scenarios="1"/>
  <pageMargins left="0.5" right="0.5" top="0.34" bottom="0.34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A2:C219"/>
  <sheetViews>
    <sheetView workbookViewId="0">
      <selection activeCell="B1" sqref="B1:B1048576"/>
    </sheetView>
  </sheetViews>
  <sheetFormatPr defaultRowHeight="15"/>
  <cols>
    <col min="1" max="1" width="37.5703125" style="12" customWidth="1"/>
    <col min="2" max="2" width="42.85546875" style="12" customWidth="1"/>
    <col min="3" max="3" width="16.85546875" style="12" customWidth="1"/>
    <col min="4" max="9" width="0" style="12" hidden="1" customWidth="1"/>
    <col min="10" max="16384" width="9.140625" style="12"/>
  </cols>
  <sheetData>
    <row r="2" spans="1:3" s="8" customFormat="1" ht="20.25">
      <c r="A2" s="7" t="s">
        <v>1311</v>
      </c>
    </row>
    <row r="3" spans="1:3" s="8" customFormat="1" ht="20.25">
      <c r="A3" s="7" t="s">
        <v>1312</v>
      </c>
    </row>
    <row r="4" spans="1:3" s="8" customFormat="1" ht="20.25">
      <c r="A4" s="7" t="s">
        <v>1313</v>
      </c>
    </row>
    <row r="8" spans="1:3" s="9" customFormat="1">
      <c r="A8" s="23" t="s">
        <v>0</v>
      </c>
      <c r="B8" s="23" t="s">
        <v>514</v>
      </c>
    </row>
    <row r="9" spans="1:3" s="10" customFormat="1"/>
    <row r="10" spans="1:3" ht="6" customHeight="1">
      <c r="A10" s="11"/>
      <c r="B10" s="11"/>
      <c r="C10" s="11"/>
    </row>
    <row r="11" spans="1:3">
      <c r="A11" s="22" t="s">
        <v>671</v>
      </c>
      <c r="B11" s="22" t="s">
        <v>1310</v>
      </c>
      <c r="C11" s="22" t="s">
        <v>1</v>
      </c>
    </row>
    <row r="12" spans="1:3">
      <c r="A12" s="13" t="s">
        <v>1309</v>
      </c>
      <c r="B12" s="14" t="s">
        <v>2816</v>
      </c>
      <c r="C12" s="14" t="s">
        <v>530</v>
      </c>
    </row>
    <row r="13" spans="1:3">
      <c r="A13" s="13"/>
      <c r="B13" s="14" t="s">
        <v>2817</v>
      </c>
      <c r="C13" s="14" t="s">
        <v>548</v>
      </c>
    </row>
    <row r="14" spans="1:3">
      <c r="A14" s="13"/>
      <c r="B14" s="14" t="s">
        <v>2818</v>
      </c>
      <c r="C14" s="14" t="s">
        <v>549</v>
      </c>
    </row>
    <row r="15" spans="1:3">
      <c r="A15" s="13"/>
      <c r="B15" s="14" t="s">
        <v>2819</v>
      </c>
      <c r="C15" s="14" t="s">
        <v>2464</v>
      </c>
    </row>
    <row r="16" spans="1:3">
      <c r="A16" s="13"/>
      <c r="B16" s="14" t="s">
        <v>2820</v>
      </c>
      <c r="C16" s="14" t="s">
        <v>551</v>
      </c>
    </row>
    <row r="17" spans="1:3">
      <c r="A17" s="13"/>
      <c r="B17" s="14" t="s">
        <v>2821</v>
      </c>
      <c r="C17" s="14" t="s">
        <v>2467</v>
      </c>
    </row>
    <row r="18" spans="1:3">
      <c r="A18" s="13"/>
      <c r="B18" s="14" t="s">
        <v>2822</v>
      </c>
      <c r="C18" s="14" t="s">
        <v>552</v>
      </c>
    </row>
    <row r="19" spans="1:3">
      <c r="A19" s="13"/>
      <c r="B19" s="14" t="s">
        <v>2823</v>
      </c>
      <c r="C19" s="14" t="s">
        <v>2470</v>
      </c>
    </row>
    <row r="20" spans="1:3">
      <c r="A20" s="13"/>
      <c r="B20" s="14" t="s">
        <v>1257</v>
      </c>
      <c r="C20" s="14" t="s">
        <v>602</v>
      </c>
    </row>
    <row r="21" spans="1:3">
      <c r="A21" s="13"/>
      <c r="B21" s="14" t="s">
        <v>1258</v>
      </c>
      <c r="C21" s="14" t="s">
        <v>603</v>
      </c>
    </row>
    <row r="22" spans="1:3">
      <c r="A22" s="13"/>
      <c r="B22" s="14" t="s">
        <v>1263</v>
      </c>
      <c r="C22" s="14" t="s">
        <v>608</v>
      </c>
    </row>
    <row r="23" spans="1:3">
      <c r="A23" s="13"/>
      <c r="B23" s="14" t="s">
        <v>1259</v>
      </c>
      <c r="C23" s="14" t="s">
        <v>604</v>
      </c>
    </row>
    <row r="24" spans="1:3">
      <c r="A24" s="13"/>
      <c r="B24" s="14" t="s">
        <v>2824</v>
      </c>
      <c r="C24" s="14" t="s">
        <v>609</v>
      </c>
    </row>
    <row r="25" spans="1:3">
      <c r="A25" s="13"/>
      <c r="B25" s="14" t="s">
        <v>2825</v>
      </c>
      <c r="C25" s="14" t="s">
        <v>610</v>
      </c>
    </row>
    <row r="26" spans="1:3">
      <c r="A26" s="13"/>
      <c r="B26" s="14" t="s">
        <v>2826</v>
      </c>
      <c r="C26" s="14" t="s">
        <v>611</v>
      </c>
    </row>
    <row r="27" spans="1:3">
      <c r="A27" s="13"/>
      <c r="B27" s="14" t="s">
        <v>2827</v>
      </c>
      <c r="C27" s="14" t="s">
        <v>618</v>
      </c>
    </row>
    <row r="28" spans="1:3">
      <c r="A28" s="13"/>
      <c r="B28" s="14" t="s">
        <v>2828</v>
      </c>
      <c r="C28" s="14" t="s">
        <v>2480</v>
      </c>
    </row>
    <row r="29" spans="1:3">
      <c r="A29" s="13"/>
      <c r="B29" s="14" t="s">
        <v>2829</v>
      </c>
      <c r="C29" s="14" t="s">
        <v>2482</v>
      </c>
    </row>
    <row r="30" spans="1:3">
      <c r="A30" s="13"/>
      <c r="B30" s="14" t="s">
        <v>2830</v>
      </c>
      <c r="C30" s="14" t="s">
        <v>625</v>
      </c>
    </row>
    <row r="31" spans="1:3">
      <c r="A31" s="13"/>
      <c r="B31" s="14" t="s">
        <v>2831</v>
      </c>
      <c r="C31" s="14" t="s">
        <v>2487</v>
      </c>
    </row>
    <row r="32" spans="1:3">
      <c r="A32" s="13"/>
      <c r="B32" s="14" t="s">
        <v>1244</v>
      </c>
      <c r="C32" s="14" t="s">
        <v>584</v>
      </c>
    </row>
    <row r="33" spans="1:3">
      <c r="A33" s="13"/>
      <c r="B33" s="14" t="s">
        <v>1245</v>
      </c>
      <c r="C33" s="14" t="s">
        <v>585</v>
      </c>
    </row>
    <row r="34" spans="1:3">
      <c r="A34" s="13"/>
      <c r="B34" s="14" t="s">
        <v>1298</v>
      </c>
      <c r="C34" s="14" t="s">
        <v>657</v>
      </c>
    </row>
    <row r="35" spans="1:3">
      <c r="A35" s="13"/>
      <c r="B35" s="14" t="s">
        <v>1305</v>
      </c>
      <c r="C35" s="14" t="s">
        <v>669</v>
      </c>
    </row>
    <row r="36" spans="1:3">
      <c r="A36" s="13"/>
      <c r="B36" s="14" t="s">
        <v>2832</v>
      </c>
      <c r="C36" s="14" t="s">
        <v>586</v>
      </c>
    </row>
    <row r="37" spans="1:3">
      <c r="A37" s="13"/>
      <c r="B37" s="14" t="s">
        <v>2833</v>
      </c>
      <c r="C37" s="14" t="s">
        <v>2495</v>
      </c>
    </row>
    <row r="38" spans="1:3">
      <c r="A38" s="13"/>
      <c r="B38" s="14" t="s">
        <v>2834</v>
      </c>
      <c r="C38" s="14" t="s">
        <v>670</v>
      </c>
    </row>
    <row r="39" spans="1:3">
      <c r="A39" s="13"/>
      <c r="B39" s="14" t="s">
        <v>2835</v>
      </c>
      <c r="C39" s="14" t="s">
        <v>2498</v>
      </c>
    </row>
    <row r="40" spans="1:3">
      <c r="A40" s="13"/>
      <c r="B40" s="14" t="s">
        <v>2836</v>
      </c>
      <c r="C40" s="14" t="s">
        <v>273</v>
      </c>
    </row>
    <row r="41" spans="1:3">
      <c r="A41" s="13"/>
      <c r="B41" s="14" t="s">
        <v>2837</v>
      </c>
      <c r="C41" s="14" t="s">
        <v>2501</v>
      </c>
    </row>
    <row r="42" spans="1:3">
      <c r="A42" s="13"/>
      <c r="B42" s="14" t="s">
        <v>2838</v>
      </c>
      <c r="C42" s="14" t="s">
        <v>2503</v>
      </c>
    </row>
    <row r="43" spans="1:3">
      <c r="A43" s="13"/>
      <c r="B43" s="14" t="s">
        <v>2839</v>
      </c>
      <c r="C43" s="14" t="s">
        <v>2505</v>
      </c>
    </row>
    <row r="44" spans="1:3">
      <c r="A44" s="13"/>
      <c r="B44" s="14" t="s">
        <v>2840</v>
      </c>
      <c r="C44" s="14" t="s">
        <v>2507</v>
      </c>
    </row>
    <row r="45" spans="1:3">
      <c r="A45" s="13"/>
      <c r="B45" s="14" t="s">
        <v>2841</v>
      </c>
      <c r="C45" s="14" t="s">
        <v>2509</v>
      </c>
    </row>
    <row r="46" spans="1:3">
      <c r="A46" s="13"/>
      <c r="B46" s="14" t="s">
        <v>2842</v>
      </c>
      <c r="C46" s="14" t="s">
        <v>587</v>
      </c>
    </row>
    <row r="47" spans="1:3">
      <c r="A47" s="13"/>
      <c r="B47" s="14" t="s">
        <v>1246</v>
      </c>
      <c r="C47" s="14" t="s">
        <v>589</v>
      </c>
    </row>
    <row r="48" spans="1:3">
      <c r="A48" s="13"/>
      <c r="B48" s="14" t="s">
        <v>2843</v>
      </c>
      <c r="C48" s="14" t="s">
        <v>588</v>
      </c>
    </row>
    <row r="49" spans="1:3">
      <c r="A49" s="13"/>
      <c r="B49" s="14" t="s">
        <v>2844</v>
      </c>
      <c r="C49" s="14" t="s">
        <v>590</v>
      </c>
    </row>
    <row r="50" spans="1:3">
      <c r="A50" s="13" t="s">
        <v>1309</v>
      </c>
      <c r="B50" s="14" t="s">
        <v>1248</v>
      </c>
      <c r="C50" s="14" t="s">
        <v>592</v>
      </c>
    </row>
    <row r="51" spans="1:3">
      <c r="A51" s="13"/>
      <c r="B51" s="14" t="s">
        <v>1247</v>
      </c>
      <c r="C51" s="14" t="s">
        <v>591</v>
      </c>
    </row>
    <row r="52" spans="1:3">
      <c r="A52" s="13"/>
      <c r="B52" s="14" t="s">
        <v>1249</v>
      </c>
      <c r="C52" s="14" t="s">
        <v>593</v>
      </c>
    </row>
    <row r="53" spans="1:3">
      <c r="A53" s="13"/>
      <c r="B53" s="14" t="s">
        <v>2845</v>
      </c>
      <c r="C53" s="14" t="s">
        <v>594</v>
      </c>
    </row>
    <row r="54" spans="1:3">
      <c r="A54" s="13"/>
      <c r="B54" s="14" t="s">
        <v>2846</v>
      </c>
      <c r="C54" s="14" t="s">
        <v>2517</v>
      </c>
    </row>
    <row r="55" spans="1:3">
      <c r="A55" s="13"/>
      <c r="B55" s="14" t="s">
        <v>1250</v>
      </c>
      <c r="C55" s="14" t="s">
        <v>595</v>
      </c>
    </row>
    <row r="56" spans="1:3">
      <c r="A56" s="13"/>
      <c r="B56" s="14" t="s">
        <v>1252</v>
      </c>
      <c r="C56" s="14" t="s">
        <v>597</v>
      </c>
    </row>
    <row r="57" spans="1:3">
      <c r="A57" s="13"/>
      <c r="B57" s="14" t="s">
        <v>1251</v>
      </c>
      <c r="C57" s="14" t="s">
        <v>596</v>
      </c>
    </row>
    <row r="58" spans="1:3">
      <c r="A58" s="13"/>
      <c r="B58" s="14" t="s">
        <v>1253</v>
      </c>
      <c r="C58" s="14" t="s">
        <v>598</v>
      </c>
    </row>
    <row r="59" spans="1:3">
      <c r="A59" s="13"/>
      <c r="B59" s="14" t="s">
        <v>1254</v>
      </c>
      <c r="C59" s="14" t="s">
        <v>599</v>
      </c>
    </row>
    <row r="60" spans="1:3">
      <c r="A60" s="13"/>
      <c r="B60" s="14" t="s">
        <v>1260</v>
      </c>
      <c r="C60" s="14" t="s">
        <v>605</v>
      </c>
    </row>
    <row r="61" spans="1:3">
      <c r="A61" s="13"/>
      <c r="B61" s="14" t="s">
        <v>1261</v>
      </c>
      <c r="C61" s="14" t="s">
        <v>606</v>
      </c>
    </row>
    <row r="62" spans="1:3">
      <c r="A62" s="13"/>
      <c r="B62" s="14" t="s">
        <v>1274</v>
      </c>
      <c r="C62" s="14" t="s">
        <v>626</v>
      </c>
    </row>
    <row r="63" spans="1:3">
      <c r="A63" s="13"/>
      <c r="B63" s="14" t="s">
        <v>1299</v>
      </c>
      <c r="C63" s="14" t="s">
        <v>658</v>
      </c>
    </row>
    <row r="64" spans="1:3">
      <c r="A64" s="13"/>
      <c r="B64" s="14" t="s">
        <v>1300</v>
      </c>
      <c r="C64" s="14" t="s">
        <v>659</v>
      </c>
    </row>
    <row r="65" spans="1:3">
      <c r="A65" s="13"/>
      <c r="B65" s="14" t="s">
        <v>1301</v>
      </c>
      <c r="C65" s="14" t="s">
        <v>660</v>
      </c>
    </row>
    <row r="66" spans="1:3">
      <c r="A66" s="13"/>
      <c r="B66" s="14" t="s">
        <v>1302</v>
      </c>
      <c r="C66" s="14" t="s">
        <v>661</v>
      </c>
    </row>
    <row r="67" spans="1:3">
      <c r="A67" s="13"/>
      <c r="B67" s="14" t="s">
        <v>1284</v>
      </c>
      <c r="C67" s="14" t="s">
        <v>639</v>
      </c>
    </row>
    <row r="68" spans="1:3">
      <c r="A68" s="13"/>
      <c r="B68" s="14" t="s">
        <v>1285</v>
      </c>
      <c r="C68" s="14" t="s">
        <v>640</v>
      </c>
    </row>
    <row r="69" spans="1:3">
      <c r="A69" s="13"/>
      <c r="B69" s="14" t="s">
        <v>2847</v>
      </c>
      <c r="C69" s="14" t="s">
        <v>664</v>
      </c>
    </row>
    <row r="70" spans="1:3">
      <c r="A70" s="13"/>
      <c r="B70" s="14" t="s">
        <v>2848</v>
      </c>
      <c r="C70" s="14" t="s">
        <v>665</v>
      </c>
    </row>
    <row r="71" spans="1:3">
      <c r="A71" s="13"/>
      <c r="B71" s="14" t="s">
        <v>2849</v>
      </c>
      <c r="C71" s="14" t="s">
        <v>641</v>
      </c>
    </row>
    <row r="72" spans="1:3">
      <c r="A72" s="13"/>
      <c r="B72" s="14" t="s">
        <v>2850</v>
      </c>
      <c r="C72" s="14" t="s">
        <v>642</v>
      </c>
    </row>
    <row r="73" spans="1:3">
      <c r="A73" s="13"/>
      <c r="B73" s="14" t="s">
        <v>2851</v>
      </c>
      <c r="C73" s="14" t="s">
        <v>643</v>
      </c>
    </row>
    <row r="74" spans="1:3">
      <c r="A74" s="13"/>
      <c r="B74" s="14" t="s">
        <v>2852</v>
      </c>
      <c r="C74" s="14" t="s">
        <v>666</v>
      </c>
    </row>
    <row r="75" spans="1:3">
      <c r="A75" s="13"/>
      <c r="B75" s="14" t="s">
        <v>2853</v>
      </c>
      <c r="C75" s="14" t="s">
        <v>667</v>
      </c>
    </row>
    <row r="76" spans="1:3">
      <c r="A76" s="13"/>
      <c r="B76" s="14" t="s">
        <v>2854</v>
      </c>
      <c r="C76" s="14" t="s">
        <v>668</v>
      </c>
    </row>
    <row r="77" spans="1:3">
      <c r="A77" s="13"/>
      <c r="B77" s="14" t="s">
        <v>1281</v>
      </c>
      <c r="C77" s="14" t="s">
        <v>633</v>
      </c>
    </row>
    <row r="78" spans="1:3">
      <c r="A78" s="13"/>
      <c r="B78" s="14" t="s">
        <v>1282</v>
      </c>
      <c r="C78" s="14" t="s">
        <v>634</v>
      </c>
    </row>
    <row r="79" spans="1:3">
      <c r="A79" s="13"/>
      <c r="B79" s="14" t="s">
        <v>1304</v>
      </c>
      <c r="C79" s="14" t="s">
        <v>663</v>
      </c>
    </row>
    <row r="80" spans="1:3">
      <c r="A80" s="13"/>
      <c r="B80" s="14" t="s">
        <v>2855</v>
      </c>
      <c r="C80" s="14" t="s">
        <v>635</v>
      </c>
    </row>
    <row r="81" spans="1:3">
      <c r="A81" s="13"/>
      <c r="B81" s="14" t="s">
        <v>2856</v>
      </c>
      <c r="C81" s="14" t="s">
        <v>2549</v>
      </c>
    </row>
    <row r="82" spans="1:3">
      <c r="A82" s="13"/>
      <c r="B82" s="14" t="s">
        <v>2857</v>
      </c>
      <c r="C82" s="14" t="s">
        <v>636</v>
      </c>
    </row>
    <row r="83" spans="1:3">
      <c r="A83" s="13"/>
      <c r="B83" s="14" t="s">
        <v>2858</v>
      </c>
      <c r="C83" s="14" t="s">
        <v>637</v>
      </c>
    </row>
    <row r="84" spans="1:3">
      <c r="A84" s="13"/>
      <c r="B84" s="14" t="s">
        <v>1180</v>
      </c>
      <c r="C84" s="14" t="s">
        <v>515</v>
      </c>
    </row>
    <row r="85" spans="1:3">
      <c r="A85" s="13"/>
      <c r="B85" s="14" t="s">
        <v>1287</v>
      </c>
      <c r="C85" s="14" t="s">
        <v>645</v>
      </c>
    </row>
    <row r="86" spans="1:3">
      <c r="A86" s="13"/>
      <c r="B86" s="14" t="s">
        <v>1303</v>
      </c>
      <c r="C86" s="14" t="s">
        <v>662</v>
      </c>
    </row>
    <row r="87" spans="1:3">
      <c r="A87" s="13"/>
      <c r="B87" s="14" t="s">
        <v>1292</v>
      </c>
      <c r="C87" s="14" t="s">
        <v>650</v>
      </c>
    </row>
    <row r="88" spans="1:3">
      <c r="A88" s="13"/>
      <c r="B88" s="14" t="s">
        <v>1288</v>
      </c>
      <c r="C88" s="14" t="s">
        <v>646</v>
      </c>
    </row>
    <row r="89" spans="1:3">
      <c r="A89" s="13"/>
      <c r="B89" s="14" t="s">
        <v>1289</v>
      </c>
      <c r="C89" s="14" t="s">
        <v>647</v>
      </c>
    </row>
    <row r="90" spans="1:3">
      <c r="A90" s="13"/>
      <c r="B90" s="14" t="s">
        <v>2859</v>
      </c>
      <c r="C90" s="14" t="s">
        <v>651</v>
      </c>
    </row>
    <row r="91" spans="1:3">
      <c r="A91" s="13"/>
      <c r="B91" s="14" t="s">
        <v>2860</v>
      </c>
      <c r="C91" s="14" t="s">
        <v>2560</v>
      </c>
    </row>
    <row r="92" spans="1:3">
      <c r="A92" s="13"/>
      <c r="B92" s="14" t="s">
        <v>1218</v>
      </c>
      <c r="C92" s="14" t="s">
        <v>558</v>
      </c>
    </row>
    <row r="93" spans="1:3">
      <c r="A93" s="13"/>
      <c r="B93" s="14" t="s">
        <v>1217</v>
      </c>
      <c r="C93" s="14" t="s">
        <v>557</v>
      </c>
    </row>
    <row r="94" spans="1:3">
      <c r="A94" s="13"/>
      <c r="B94" s="14" t="s">
        <v>1219</v>
      </c>
      <c r="C94" s="14" t="s">
        <v>559</v>
      </c>
    </row>
    <row r="95" spans="1:3">
      <c r="A95" s="13"/>
      <c r="B95" s="14" t="s">
        <v>1220</v>
      </c>
      <c r="C95" s="14" t="s">
        <v>560</v>
      </c>
    </row>
    <row r="96" spans="1:3">
      <c r="A96" s="13"/>
      <c r="B96" s="14" t="s">
        <v>1221</v>
      </c>
      <c r="C96" s="14" t="s">
        <v>561</v>
      </c>
    </row>
    <row r="97" spans="1:3">
      <c r="A97" s="13"/>
      <c r="B97" s="14" t="s">
        <v>1181</v>
      </c>
      <c r="C97" s="14" t="s">
        <v>516</v>
      </c>
    </row>
    <row r="98" spans="1:3">
      <c r="A98" s="13" t="s">
        <v>1309</v>
      </c>
      <c r="B98" s="14" t="s">
        <v>1182</v>
      </c>
      <c r="C98" s="14" t="s">
        <v>517</v>
      </c>
    </row>
    <row r="99" spans="1:3">
      <c r="A99" s="13"/>
      <c r="B99" s="14" t="s">
        <v>1183</v>
      </c>
      <c r="C99" s="14" t="s">
        <v>518</v>
      </c>
    </row>
    <row r="100" spans="1:3">
      <c r="A100" s="13"/>
      <c r="B100" s="14" t="s">
        <v>1184</v>
      </c>
      <c r="C100" s="14" t="s">
        <v>519</v>
      </c>
    </row>
    <row r="101" spans="1:3">
      <c r="A101" s="13"/>
      <c r="B101" s="14" t="s">
        <v>1185</v>
      </c>
      <c r="C101" s="14" t="s">
        <v>520</v>
      </c>
    </row>
    <row r="102" spans="1:3">
      <c r="A102" s="13"/>
      <c r="B102" s="14" t="s">
        <v>1186</v>
      </c>
      <c r="C102" s="14" t="s">
        <v>521</v>
      </c>
    </row>
    <row r="103" spans="1:3">
      <c r="A103" s="13"/>
      <c r="B103" s="14" t="s">
        <v>1188</v>
      </c>
      <c r="C103" s="14" t="s">
        <v>523</v>
      </c>
    </row>
    <row r="104" spans="1:3">
      <c r="A104" s="13"/>
      <c r="B104" s="14" t="s">
        <v>1187</v>
      </c>
      <c r="C104" s="14" t="s">
        <v>522</v>
      </c>
    </row>
    <row r="105" spans="1:3">
      <c r="A105" s="13"/>
      <c r="B105" s="14" t="s">
        <v>1222</v>
      </c>
      <c r="C105" s="14" t="s">
        <v>562</v>
      </c>
    </row>
    <row r="106" spans="1:3">
      <c r="A106" s="13"/>
      <c r="B106" s="14" t="s">
        <v>1223</v>
      </c>
      <c r="C106" s="14" t="s">
        <v>563</v>
      </c>
    </row>
    <row r="107" spans="1:3">
      <c r="A107" s="13"/>
      <c r="B107" s="14" t="s">
        <v>1224</v>
      </c>
      <c r="C107" s="14" t="s">
        <v>564</v>
      </c>
    </row>
    <row r="108" spans="1:3">
      <c r="A108" s="13"/>
      <c r="B108" s="14" t="s">
        <v>1226</v>
      </c>
      <c r="C108" s="14" t="s">
        <v>566</v>
      </c>
    </row>
    <row r="109" spans="1:3">
      <c r="A109" s="13"/>
      <c r="B109" s="14" t="s">
        <v>1225</v>
      </c>
      <c r="C109" s="14" t="s">
        <v>565</v>
      </c>
    </row>
    <row r="110" spans="1:3">
      <c r="A110" s="13"/>
      <c r="B110" s="14" t="s">
        <v>1227</v>
      </c>
      <c r="C110" s="14" t="s">
        <v>567</v>
      </c>
    </row>
    <row r="111" spans="1:3">
      <c r="A111" s="13"/>
      <c r="B111" s="14" t="s">
        <v>1229</v>
      </c>
      <c r="C111" s="14" t="s">
        <v>569</v>
      </c>
    </row>
    <row r="112" spans="1:3">
      <c r="A112" s="13"/>
      <c r="B112" s="14" t="s">
        <v>1228</v>
      </c>
      <c r="C112" s="14" t="s">
        <v>568</v>
      </c>
    </row>
    <row r="113" spans="1:3">
      <c r="A113" s="13"/>
      <c r="B113" s="14" t="s">
        <v>1230</v>
      </c>
      <c r="C113" s="14" t="s">
        <v>570</v>
      </c>
    </row>
    <row r="114" spans="1:3">
      <c r="A114" s="13"/>
      <c r="B114" s="14" t="s">
        <v>1231</v>
      </c>
      <c r="C114" s="14" t="s">
        <v>571</v>
      </c>
    </row>
    <row r="115" spans="1:3">
      <c r="A115" s="13"/>
      <c r="B115" s="14" t="s">
        <v>1232</v>
      </c>
      <c r="C115" s="14" t="s">
        <v>572</v>
      </c>
    </row>
    <row r="116" spans="1:3">
      <c r="A116" s="13"/>
      <c r="B116" s="14" t="s">
        <v>1233</v>
      </c>
      <c r="C116" s="14" t="s">
        <v>573</v>
      </c>
    </row>
    <row r="117" spans="1:3">
      <c r="A117" s="13"/>
      <c r="B117" s="14" t="s">
        <v>1234</v>
      </c>
      <c r="C117" s="14" t="s">
        <v>574</v>
      </c>
    </row>
    <row r="118" spans="1:3">
      <c r="A118" s="13"/>
      <c r="B118" s="14" t="s">
        <v>1235</v>
      </c>
      <c r="C118" s="14" t="s">
        <v>575</v>
      </c>
    </row>
    <row r="119" spans="1:3">
      <c r="A119" s="13"/>
      <c r="B119" s="14" t="s">
        <v>1236</v>
      </c>
      <c r="C119" s="14" t="s">
        <v>576</v>
      </c>
    </row>
    <row r="120" spans="1:3">
      <c r="A120" s="13"/>
      <c r="B120" s="14" t="s">
        <v>1189</v>
      </c>
      <c r="C120" s="14" t="s">
        <v>524</v>
      </c>
    </row>
    <row r="121" spans="1:3">
      <c r="A121" s="13"/>
      <c r="B121" s="14" t="s">
        <v>1190</v>
      </c>
      <c r="C121" s="14" t="s">
        <v>525</v>
      </c>
    </row>
    <row r="122" spans="1:3">
      <c r="A122" s="13"/>
      <c r="B122" s="14" t="s">
        <v>1191</v>
      </c>
      <c r="C122" s="14" t="s">
        <v>526</v>
      </c>
    </row>
    <row r="123" spans="1:3">
      <c r="A123" s="13"/>
      <c r="B123" s="14" t="s">
        <v>1192</v>
      </c>
      <c r="C123" s="14" t="s">
        <v>527</v>
      </c>
    </row>
    <row r="124" spans="1:3">
      <c r="A124" s="13"/>
      <c r="B124" s="14" t="s">
        <v>1193</v>
      </c>
      <c r="C124" s="14" t="s">
        <v>528</v>
      </c>
    </row>
    <row r="125" spans="1:3">
      <c r="A125" s="13"/>
      <c r="B125" s="14" t="s">
        <v>1194</v>
      </c>
      <c r="C125" s="14" t="s">
        <v>529</v>
      </c>
    </row>
    <row r="126" spans="1:3">
      <c r="A126" s="13"/>
      <c r="B126" s="14" t="s">
        <v>1195</v>
      </c>
      <c r="C126" s="14" t="s">
        <v>531</v>
      </c>
    </row>
    <row r="127" spans="1:3">
      <c r="A127" s="13"/>
      <c r="B127" s="14" t="s">
        <v>1196</v>
      </c>
      <c r="C127" s="14" t="s">
        <v>532</v>
      </c>
    </row>
    <row r="128" spans="1:3">
      <c r="A128" s="13"/>
      <c r="B128" s="14" t="s">
        <v>1197</v>
      </c>
      <c r="C128" s="14" t="s">
        <v>533</v>
      </c>
    </row>
    <row r="129" spans="1:3">
      <c r="A129" s="13"/>
      <c r="B129" s="14" t="s">
        <v>1237</v>
      </c>
      <c r="C129" s="14" t="s">
        <v>577</v>
      </c>
    </row>
    <row r="130" spans="1:3">
      <c r="A130" s="13"/>
      <c r="B130" s="14" t="s">
        <v>1238</v>
      </c>
      <c r="C130" s="14" t="s">
        <v>578</v>
      </c>
    </row>
    <row r="131" spans="1:3">
      <c r="A131" s="13"/>
      <c r="B131" s="14" t="s">
        <v>1239</v>
      </c>
      <c r="C131" s="14" t="s">
        <v>579</v>
      </c>
    </row>
    <row r="132" spans="1:3">
      <c r="A132" s="13"/>
      <c r="B132" s="14" t="s">
        <v>1240</v>
      </c>
      <c r="C132" s="14" t="s">
        <v>580</v>
      </c>
    </row>
    <row r="133" spans="1:3">
      <c r="A133" s="13"/>
      <c r="B133" s="14" t="s">
        <v>1241</v>
      </c>
      <c r="C133" s="14" t="s">
        <v>581</v>
      </c>
    </row>
    <row r="134" spans="1:3">
      <c r="A134" s="13"/>
      <c r="B134" s="14" t="s">
        <v>1242</v>
      </c>
      <c r="C134" s="14" t="s">
        <v>582</v>
      </c>
    </row>
    <row r="135" spans="1:3">
      <c r="A135" s="13"/>
      <c r="B135" s="14" t="s">
        <v>1243</v>
      </c>
      <c r="C135" s="14" t="s">
        <v>583</v>
      </c>
    </row>
    <row r="136" spans="1:3">
      <c r="A136" s="13"/>
      <c r="B136" s="14" t="s">
        <v>1198</v>
      </c>
      <c r="C136" s="14" t="s">
        <v>534</v>
      </c>
    </row>
    <row r="137" spans="1:3">
      <c r="A137" s="13"/>
      <c r="B137" s="14" t="s">
        <v>1199</v>
      </c>
      <c r="C137" s="14" t="s">
        <v>535</v>
      </c>
    </row>
    <row r="138" spans="1:3">
      <c r="A138" s="13"/>
      <c r="B138" s="14" t="s">
        <v>1200</v>
      </c>
      <c r="C138" s="14" t="s">
        <v>536</v>
      </c>
    </row>
    <row r="139" spans="1:3">
      <c r="A139" s="13"/>
      <c r="B139" s="14" t="s">
        <v>1201</v>
      </c>
      <c r="C139" s="14" t="s">
        <v>537</v>
      </c>
    </row>
    <row r="140" spans="1:3">
      <c r="A140" s="13"/>
      <c r="B140" s="14" t="s">
        <v>1202</v>
      </c>
      <c r="C140" s="14" t="s">
        <v>538</v>
      </c>
    </row>
    <row r="141" spans="1:3">
      <c r="A141" s="13"/>
      <c r="B141" s="14" t="s">
        <v>1203</v>
      </c>
      <c r="C141" s="14" t="s">
        <v>539</v>
      </c>
    </row>
    <row r="142" spans="1:3">
      <c r="A142" s="13"/>
      <c r="B142" s="14" t="s">
        <v>1204</v>
      </c>
      <c r="C142" s="14" t="s">
        <v>540</v>
      </c>
    </row>
    <row r="143" spans="1:3">
      <c r="A143" s="13"/>
      <c r="B143" s="14" t="s">
        <v>1205</v>
      </c>
      <c r="C143" s="14" t="s">
        <v>541</v>
      </c>
    </row>
    <row r="144" spans="1:3">
      <c r="A144" s="13"/>
      <c r="B144" s="14" t="s">
        <v>1206</v>
      </c>
      <c r="C144" s="14" t="s">
        <v>542</v>
      </c>
    </row>
    <row r="145" spans="1:3">
      <c r="A145" s="13"/>
      <c r="B145" s="14" t="s">
        <v>1207</v>
      </c>
      <c r="C145" s="14" t="s">
        <v>543</v>
      </c>
    </row>
    <row r="146" spans="1:3">
      <c r="A146" s="13" t="s">
        <v>1309</v>
      </c>
      <c r="B146" s="14" t="s">
        <v>1208</v>
      </c>
      <c r="C146" s="14" t="s">
        <v>544</v>
      </c>
    </row>
    <row r="147" spans="1:3">
      <c r="A147" s="13"/>
      <c r="B147" s="14" t="s">
        <v>1210</v>
      </c>
      <c r="C147" s="14" t="s">
        <v>546</v>
      </c>
    </row>
    <row r="148" spans="1:3">
      <c r="A148" s="13"/>
      <c r="B148" s="14" t="s">
        <v>1209</v>
      </c>
      <c r="C148" s="14" t="s">
        <v>545</v>
      </c>
    </row>
    <row r="149" spans="1:3">
      <c r="A149" s="13"/>
      <c r="B149" s="14" t="s">
        <v>1211</v>
      </c>
      <c r="C149" s="14" t="s">
        <v>547</v>
      </c>
    </row>
    <row r="150" spans="1:3">
      <c r="A150" s="13"/>
      <c r="B150" s="14" t="s">
        <v>1262</v>
      </c>
      <c r="C150" s="14" t="s">
        <v>607</v>
      </c>
    </row>
    <row r="151" spans="1:3">
      <c r="A151" s="13"/>
      <c r="B151" s="14" t="s">
        <v>1256</v>
      </c>
      <c r="C151" s="14" t="s">
        <v>601</v>
      </c>
    </row>
    <row r="152" spans="1:3">
      <c r="A152" s="13"/>
      <c r="B152" s="14" t="s">
        <v>1264</v>
      </c>
      <c r="C152" s="14" t="s">
        <v>612</v>
      </c>
    </row>
    <row r="153" spans="1:3">
      <c r="A153" s="13"/>
      <c r="B153" s="14" t="s">
        <v>2861</v>
      </c>
      <c r="C153" s="14" t="s">
        <v>613</v>
      </c>
    </row>
    <row r="154" spans="1:3">
      <c r="A154" s="13"/>
      <c r="B154" s="14" t="s">
        <v>2862</v>
      </c>
      <c r="C154" s="14" t="s">
        <v>2620</v>
      </c>
    </row>
    <row r="155" spans="1:3">
      <c r="A155" s="13"/>
      <c r="B155" s="14" t="s">
        <v>1265</v>
      </c>
      <c r="C155" s="14" t="s">
        <v>614</v>
      </c>
    </row>
    <row r="156" spans="1:3">
      <c r="A156" s="13"/>
      <c r="B156" s="14" t="s">
        <v>1266</v>
      </c>
      <c r="C156" s="14" t="s">
        <v>615</v>
      </c>
    </row>
    <row r="157" spans="1:3">
      <c r="A157" s="13"/>
      <c r="B157" s="14" t="s">
        <v>1267</v>
      </c>
      <c r="C157" s="14" t="s">
        <v>616</v>
      </c>
    </row>
    <row r="158" spans="1:3">
      <c r="A158" s="13"/>
      <c r="B158" s="14" t="s">
        <v>1268</v>
      </c>
      <c r="C158" s="14" t="s">
        <v>617</v>
      </c>
    </row>
    <row r="159" spans="1:3">
      <c r="A159" s="13"/>
      <c r="B159" s="14" t="s">
        <v>1269</v>
      </c>
      <c r="C159" s="14" t="s">
        <v>619</v>
      </c>
    </row>
    <row r="160" spans="1:3">
      <c r="A160" s="13"/>
      <c r="B160" s="14" t="s">
        <v>1273</v>
      </c>
      <c r="C160" s="14" t="s">
        <v>624</v>
      </c>
    </row>
    <row r="161" spans="1:3">
      <c r="A161" s="13"/>
      <c r="B161" s="14" t="s">
        <v>1275</v>
      </c>
      <c r="C161" s="14" t="s">
        <v>627</v>
      </c>
    </row>
    <row r="162" spans="1:3">
      <c r="A162" s="13"/>
      <c r="B162" s="14" t="s">
        <v>1276</v>
      </c>
      <c r="C162" s="14" t="s">
        <v>628</v>
      </c>
    </row>
    <row r="163" spans="1:3">
      <c r="A163" s="13"/>
      <c r="B163" s="14" t="s">
        <v>1278</v>
      </c>
      <c r="C163" s="14" t="s">
        <v>630</v>
      </c>
    </row>
    <row r="164" spans="1:3">
      <c r="A164" s="13"/>
      <c r="B164" s="14" t="s">
        <v>1277</v>
      </c>
      <c r="C164" s="14" t="s">
        <v>629</v>
      </c>
    </row>
    <row r="165" spans="1:3">
      <c r="A165" s="13"/>
      <c r="B165" s="14" t="s">
        <v>1279</v>
      </c>
      <c r="C165" s="14" t="s">
        <v>631</v>
      </c>
    </row>
    <row r="166" spans="1:3">
      <c r="A166" s="13"/>
      <c r="B166" s="14" t="s">
        <v>1280</v>
      </c>
      <c r="C166" s="14" t="s">
        <v>632</v>
      </c>
    </row>
    <row r="167" spans="1:3">
      <c r="A167" s="13"/>
      <c r="B167" s="14" t="s">
        <v>1286</v>
      </c>
      <c r="C167" s="14" t="s">
        <v>644</v>
      </c>
    </row>
    <row r="168" spans="1:3">
      <c r="A168" s="13"/>
      <c r="B168" s="14" t="s">
        <v>1271</v>
      </c>
      <c r="C168" s="14" t="s">
        <v>622</v>
      </c>
    </row>
    <row r="169" spans="1:3">
      <c r="A169" s="13"/>
      <c r="B169" s="14" t="s">
        <v>1270</v>
      </c>
      <c r="C169" s="14" t="s">
        <v>621</v>
      </c>
    </row>
    <row r="170" spans="1:3">
      <c r="A170" s="13"/>
      <c r="B170" s="14" t="s">
        <v>1272</v>
      </c>
      <c r="C170" s="14" t="s">
        <v>623</v>
      </c>
    </row>
    <row r="171" spans="1:3">
      <c r="A171" s="13"/>
      <c r="B171" s="14" t="s">
        <v>1293</v>
      </c>
      <c r="C171" s="14" t="s">
        <v>652</v>
      </c>
    </row>
    <row r="172" spans="1:3">
      <c r="A172" s="13"/>
      <c r="B172" s="14" t="s">
        <v>1294</v>
      </c>
      <c r="C172" s="14" t="s">
        <v>653</v>
      </c>
    </row>
    <row r="173" spans="1:3">
      <c r="A173" s="13"/>
      <c r="B173" s="14" t="s">
        <v>1290</v>
      </c>
      <c r="C173" s="14" t="s">
        <v>648</v>
      </c>
    </row>
    <row r="174" spans="1:3">
      <c r="A174" s="13"/>
      <c r="B174" s="14" t="s">
        <v>1295</v>
      </c>
      <c r="C174" s="14" t="s">
        <v>654</v>
      </c>
    </row>
    <row r="175" spans="1:3">
      <c r="A175" s="13"/>
      <c r="B175" s="14" t="s">
        <v>1291</v>
      </c>
      <c r="C175" s="14" t="s">
        <v>649</v>
      </c>
    </row>
    <row r="176" spans="1:3">
      <c r="A176" s="13"/>
      <c r="B176" s="14" t="s">
        <v>1296</v>
      </c>
      <c r="C176" s="14" t="s">
        <v>655</v>
      </c>
    </row>
    <row r="177" spans="1:3">
      <c r="A177" s="13"/>
      <c r="B177" s="14" t="s">
        <v>1297</v>
      </c>
      <c r="C177" s="14" t="s">
        <v>656</v>
      </c>
    </row>
    <row r="178" spans="1:3">
      <c r="A178" s="13"/>
      <c r="B178" s="14" t="s">
        <v>2863</v>
      </c>
      <c r="C178" s="14" t="s">
        <v>2642</v>
      </c>
    </row>
    <row r="179" spans="1:3">
      <c r="A179" s="13"/>
      <c r="B179" s="14" t="s">
        <v>2864</v>
      </c>
      <c r="C179" s="14" t="s">
        <v>2644</v>
      </c>
    </row>
    <row r="180" spans="1:3">
      <c r="A180" s="13"/>
      <c r="B180" s="14" t="s">
        <v>2865</v>
      </c>
      <c r="C180" s="14" t="s">
        <v>2646</v>
      </c>
    </row>
    <row r="181" spans="1:3">
      <c r="A181" s="13"/>
      <c r="B181" s="14" t="s">
        <v>2866</v>
      </c>
      <c r="C181" s="14" t="s">
        <v>2648</v>
      </c>
    </row>
    <row r="182" spans="1:3">
      <c r="A182" s="13"/>
      <c r="B182" s="14" t="s">
        <v>2867</v>
      </c>
      <c r="C182" s="14" t="s">
        <v>2650</v>
      </c>
    </row>
    <row r="183" spans="1:3">
      <c r="A183" s="13"/>
      <c r="B183" s="14" t="s">
        <v>2868</v>
      </c>
      <c r="C183" s="14" t="s">
        <v>2652</v>
      </c>
    </row>
    <row r="184" spans="1:3">
      <c r="A184" s="13"/>
      <c r="B184" s="14" t="s">
        <v>2869</v>
      </c>
      <c r="C184" s="14" t="s">
        <v>2654</v>
      </c>
    </row>
    <row r="185" spans="1:3">
      <c r="A185" s="13"/>
      <c r="B185" s="14" t="s">
        <v>2870</v>
      </c>
      <c r="C185" s="14" t="s">
        <v>2656</v>
      </c>
    </row>
    <row r="186" spans="1:3">
      <c r="A186" s="13"/>
      <c r="B186" s="14" t="s">
        <v>2871</v>
      </c>
      <c r="C186" s="14" t="s">
        <v>2658</v>
      </c>
    </row>
    <row r="187" spans="1:3">
      <c r="A187" s="13"/>
      <c r="B187" s="14" t="s">
        <v>2872</v>
      </c>
      <c r="C187" s="14" t="s">
        <v>2661</v>
      </c>
    </row>
    <row r="188" spans="1:3">
      <c r="A188" s="13"/>
      <c r="B188" s="14" t="s">
        <v>2873</v>
      </c>
      <c r="C188" s="14" t="s">
        <v>2663</v>
      </c>
    </row>
    <row r="189" spans="1:3">
      <c r="A189" s="13"/>
      <c r="B189" s="14" t="s">
        <v>2874</v>
      </c>
      <c r="C189" s="14" t="s">
        <v>2665</v>
      </c>
    </row>
    <row r="190" spans="1:3">
      <c r="A190" s="13"/>
      <c r="B190" s="14" t="s">
        <v>2875</v>
      </c>
      <c r="C190" s="14" t="s">
        <v>2667</v>
      </c>
    </row>
    <row r="191" spans="1:3">
      <c r="A191" s="13"/>
      <c r="B191" s="14" t="s">
        <v>2876</v>
      </c>
      <c r="C191" s="14" t="s">
        <v>2669</v>
      </c>
    </row>
    <row r="192" spans="1:3">
      <c r="A192" s="13"/>
      <c r="B192" s="14" t="s">
        <v>2877</v>
      </c>
      <c r="C192" s="14" t="s">
        <v>2671</v>
      </c>
    </row>
    <row r="193" spans="1:3">
      <c r="A193" s="13"/>
      <c r="B193" s="14" t="s">
        <v>2878</v>
      </c>
      <c r="C193" s="14" t="s">
        <v>2673</v>
      </c>
    </row>
    <row r="194" spans="1:3">
      <c r="A194" s="13" t="s">
        <v>1309</v>
      </c>
      <c r="B194" s="14" t="s">
        <v>2879</v>
      </c>
      <c r="C194" s="14" t="s">
        <v>2675</v>
      </c>
    </row>
    <row r="195" spans="1:3">
      <c r="A195" s="13"/>
      <c r="B195" s="14" t="s">
        <v>2880</v>
      </c>
      <c r="C195" s="14" t="s">
        <v>620</v>
      </c>
    </row>
    <row r="196" spans="1:3">
      <c r="A196" s="13"/>
      <c r="B196" s="14" t="s">
        <v>2881</v>
      </c>
      <c r="C196" s="14" t="s">
        <v>2678</v>
      </c>
    </row>
    <row r="197" spans="1:3">
      <c r="A197" s="13"/>
      <c r="B197" s="14" t="s">
        <v>2882</v>
      </c>
      <c r="C197" s="14" t="s">
        <v>2680</v>
      </c>
    </row>
    <row r="198" spans="1:3">
      <c r="A198" s="13"/>
      <c r="B198" s="14" t="s">
        <v>2883</v>
      </c>
      <c r="C198" s="14" t="s">
        <v>2682</v>
      </c>
    </row>
    <row r="199" spans="1:3">
      <c r="A199" s="13"/>
      <c r="B199" s="14" t="s">
        <v>2884</v>
      </c>
      <c r="C199" s="14" t="s">
        <v>2686</v>
      </c>
    </row>
    <row r="200" spans="1:3">
      <c r="A200" s="13"/>
      <c r="B200" s="14" t="s">
        <v>2885</v>
      </c>
      <c r="C200" s="14" t="s">
        <v>2688</v>
      </c>
    </row>
    <row r="201" spans="1:3">
      <c r="A201" s="13"/>
      <c r="B201" s="14" t="s">
        <v>1212</v>
      </c>
      <c r="C201" s="14" t="s">
        <v>550</v>
      </c>
    </row>
    <row r="202" spans="1:3">
      <c r="A202" s="13"/>
      <c r="B202" s="14" t="s">
        <v>2886</v>
      </c>
      <c r="C202" s="14" t="s">
        <v>2692</v>
      </c>
    </row>
    <row r="203" spans="1:3">
      <c r="A203" s="13"/>
      <c r="B203" s="14" t="s">
        <v>2887</v>
      </c>
      <c r="C203" s="14" t="s">
        <v>2694</v>
      </c>
    </row>
    <row r="204" spans="1:3">
      <c r="A204" s="13"/>
      <c r="B204" s="14" t="s">
        <v>2888</v>
      </c>
      <c r="C204" s="14" t="s">
        <v>2696</v>
      </c>
    </row>
    <row r="205" spans="1:3">
      <c r="A205" s="13"/>
      <c r="B205" s="14" t="s">
        <v>1213</v>
      </c>
      <c r="C205" s="14" t="s">
        <v>553</v>
      </c>
    </row>
    <row r="206" spans="1:3">
      <c r="A206" s="13"/>
      <c r="B206" s="14" t="s">
        <v>1214</v>
      </c>
      <c r="C206" s="14" t="s">
        <v>554</v>
      </c>
    </row>
    <row r="207" spans="1:3">
      <c r="A207" s="13"/>
      <c r="B207" s="14" t="s">
        <v>1215</v>
      </c>
      <c r="C207" s="14" t="s">
        <v>555</v>
      </c>
    </row>
    <row r="208" spans="1:3">
      <c r="A208" s="13"/>
      <c r="B208" s="14" t="s">
        <v>1216</v>
      </c>
      <c r="C208" s="14" t="s">
        <v>556</v>
      </c>
    </row>
    <row r="209" spans="1:3">
      <c r="A209" s="13"/>
      <c r="B209" s="14" t="s">
        <v>1255</v>
      </c>
      <c r="C209" s="14" t="s">
        <v>600</v>
      </c>
    </row>
    <row r="210" spans="1:3">
      <c r="A210" s="13"/>
      <c r="B210" s="14" t="s">
        <v>2889</v>
      </c>
      <c r="C210" s="14" t="s">
        <v>2703</v>
      </c>
    </row>
    <row r="211" spans="1:3">
      <c r="A211" s="13"/>
      <c r="B211" s="14" t="s">
        <v>2890</v>
      </c>
      <c r="C211" s="14" t="s">
        <v>2707</v>
      </c>
    </row>
    <row r="212" spans="1:3">
      <c r="A212" s="13"/>
      <c r="B212" s="14" t="s">
        <v>2891</v>
      </c>
      <c r="C212" s="14" t="s">
        <v>2711</v>
      </c>
    </row>
    <row r="213" spans="1:3">
      <c r="A213" s="13"/>
      <c r="B213" s="14" t="s">
        <v>2892</v>
      </c>
      <c r="C213" s="14" t="s">
        <v>2715</v>
      </c>
    </row>
    <row r="214" spans="1:3">
      <c r="A214" s="13"/>
      <c r="B214" s="14" t="s">
        <v>2893</v>
      </c>
      <c r="C214" s="14" t="s">
        <v>2717</v>
      </c>
    </row>
    <row r="215" spans="1:3">
      <c r="A215" s="13"/>
      <c r="B215" s="14" t="s">
        <v>2894</v>
      </c>
      <c r="C215" s="14" t="s">
        <v>2719</v>
      </c>
    </row>
    <row r="216" spans="1:3">
      <c r="A216" s="13"/>
      <c r="B216" s="14" t="s">
        <v>2895</v>
      </c>
      <c r="C216" s="14" t="s">
        <v>2721</v>
      </c>
    </row>
    <row r="217" spans="1:3">
      <c r="A217" s="13"/>
      <c r="B217" s="14" t="s">
        <v>2896</v>
      </c>
      <c r="C217" s="14" t="s">
        <v>2723</v>
      </c>
    </row>
    <row r="218" spans="1:3">
      <c r="A218" s="13"/>
      <c r="B218" s="14" t="s">
        <v>1283</v>
      </c>
      <c r="C218" s="14" t="s">
        <v>638</v>
      </c>
    </row>
    <row r="219" spans="1:3" ht="5.25" customHeight="1">
      <c r="A219" s="15"/>
      <c r="B219" s="15"/>
      <c r="C219" s="15"/>
    </row>
  </sheetData>
  <sheetProtection password="DE74" sheet="1" objects="1" scenarios="1"/>
  <pageMargins left="0.5" right="0.5" top="0.32" bottom="0.36" header="0.26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C27"/>
  <sheetViews>
    <sheetView workbookViewId="0">
      <selection activeCell="B1" sqref="B1:B1048576"/>
    </sheetView>
  </sheetViews>
  <sheetFormatPr defaultRowHeight="15"/>
  <cols>
    <col min="1" max="1" width="35.140625" style="12" customWidth="1"/>
    <col min="2" max="2" width="44.5703125" style="12" bestFit="1" customWidth="1"/>
    <col min="3" max="3" width="17.5703125" style="12" customWidth="1"/>
    <col min="4" max="9" width="0" style="12" hidden="1" customWidth="1"/>
    <col min="10" max="16384" width="9.140625" style="12"/>
  </cols>
  <sheetData>
    <row r="2" spans="1:3" s="8" customFormat="1" ht="20.25">
      <c r="A2" s="7" t="s">
        <v>1311</v>
      </c>
    </row>
    <row r="3" spans="1:3" s="8" customFormat="1" ht="20.25">
      <c r="A3" s="7" t="s">
        <v>1312</v>
      </c>
    </row>
    <row r="4" spans="1:3" s="8" customFormat="1" ht="20.25">
      <c r="A4" s="7" t="s">
        <v>1313</v>
      </c>
    </row>
    <row r="8" spans="1:3" s="25" customFormat="1">
      <c r="A8" s="23" t="s">
        <v>0</v>
      </c>
      <c r="B8" s="23" t="s">
        <v>309</v>
      </c>
    </row>
    <row r="9" spans="1:3" s="10" customFormat="1"/>
    <row r="10" spans="1:3" ht="6" customHeight="1">
      <c r="A10" s="11"/>
      <c r="B10" s="11"/>
      <c r="C10" s="11"/>
    </row>
    <row r="11" spans="1:3" s="24" customFormat="1">
      <c r="A11" s="22" t="s">
        <v>671</v>
      </c>
      <c r="B11" s="22" t="s">
        <v>1310</v>
      </c>
      <c r="C11" s="22" t="s">
        <v>1</v>
      </c>
    </row>
    <row r="12" spans="1:3">
      <c r="A12" s="13" t="s">
        <v>1307</v>
      </c>
      <c r="B12" s="14" t="s">
        <v>979</v>
      </c>
      <c r="C12" s="14" t="s">
        <v>311</v>
      </c>
    </row>
    <row r="13" spans="1:3">
      <c r="A13" s="13"/>
      <c r="B13" s="14" t="s">
        <v>987</v>
      </c>
      <c r="C13" s="14" t="s">
        <v>319</v>
      </c>
    </row>
    <row r="14" spans="1:3">
      <c r="A14" s="13"/>
      <c r="B14" s="14" t="s">
        <v>988</v>
      </c>
      <c r="C14" s="14" t="s">
        <v>320</v>
      </c>
    </row>
    <row r="15" spans="1:3">
      <c r="A15" s="13"/>
      <c r="B15" s="14" t="s">
        <v>983</v>
      </c>
      <c r="C15" s="14" t="s">
        <v>315</v>
      </c>
    </row>
    <row r="16" spans="1:3">
      <c r="A16" s="13"/>
      <c r="B16" s="14" t="s">
        <v>989</v>
      </c>
      <c r="C16" s="14" t="s">
        <v>321</v>
      </c>
    </row>
    <row r="17" spans="1:3">
      <c r="A17" s="13"/>
      <c r="B17" s="14" t="s">
        <v>990</v>
      </c>
      <c r="C17" s="14" t="s">
        <v>322</v>
      </c>
    </row>
    <row r="18" spans="1:3">
      <c r="A18" s="13"/>
      <c r="B18" s="14" t="s">
        <v>981</v>
      </c>
      <c r="C18" s="14" t="s">
        <v>313</v>
      </c>
    </row>
    <row r="19" spans="1:3">
      <c r="A19" s="13"/>
      <c r="B19" s="14" t="s">
        <v>992</v>
      </c>
      <c r="C19" s="14" t="s">
        <v>324</v>
      </c>
    </row>
    <row r="20" spans="1:3">
      <c r="A20" s="13"/>
      <c r="B20" s="14" t="s">
        <v>982</v>
      </c>
      <c r="C20" s="14" t="s">
        <v>314</v>
      </c>
    </row>
    <row r="21" spans="1:3">
      <c r="A21" s="13"/>
      <c r="B21" s="14" t="s">
        <v>986</v>
      </c>
      <c r="C21" s="14" t="s">
        <v>318</v>
      </c>
    </row>
    <row r="22" spans="1:3">
      <c r="A22" s="13"/>
      <c r="B22" s="14" t="s">
        <v>984</v>
      </c>
      <c r="C22" s="14" t="s">
        <v>316</v>
      </c>
    </row>
    <row r="23" spans="1:3">
      <c r="A23" s="13"/>
      <c r="B23" s="14" t="s">
        <v>978</v>
      </c>
      <c r="C23" s="14" t="s">
        <v>310</v>
      </c>
    </row>
    <row r="24" spans="1:3">
      <c r="A24" s="13"/>
      <c r="B24" s="14" t="s">
        <v>991</v>
      </c>
      <c r="C24" s="14" t="s">
        <v>323</v>
      </c>
    </row>
    <row r="25" spans="1:3">
      <c r="A25" s="13"/>
      <c r="B25" s="14" t="s">
        <v>980</v>
      </c>
      <c r="C25" s="14" t="s">
        <v>312</v>
      </c>
    </row>
    <row r="26" spans="1:3">
      <c r="A26" s="13"/>
      <c r="B26" s="14" t="s">
        <v>985</v>
      </c>
      <c r="C26" s="14" t="s">
        <v>317</v>
      </c>
    </row>
    <row r="27" spans="1:3" ht="6" customHeight="1">
      <c r="A27" s="11"/>
      <c r="B27" s="11"/>
      <c r="C27" s="11"/>
    </row>
  </sheetData>
  <sheetProtection password="DE74" sheet="1" objects="1" scenarios="1"/>
  <pageMargins left="0.5" right="0.5" top="0.44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2:C39"/>
  <sheetViews>
    <sheetView workbookViewId="0">
      <selection activeCell="B1" sqref="B1:B1048576"/>
    </sheetView>
  </sheetViews>
  <sheetFormatPr defaultRowHeight="15"/>
  <cols>
    <col min="1" max="1" width="38" style="12" customWidth="1"/>
    <col min="2" max="2" width="41.85546875" style="12" customWidth="1"/>
    <col min="3" max="3" width="17.5703125" style="12" customWidth="1"/>
    <col min="4" max="9" width="0" style="12" hidden="1" customWidth="1"/>
    <col min="10" max="16384" width="9.140625" style="12"/>
  </cols>
  <sheetData>
    <row r="2" spans="1:3" s="8" customFormat="1" ht="20.25">
      <c r="A2" s="7" t="s">
        <v>1311</v>
      </c>
    </row>
    <row r="3" spans="1:3" s="8" customFormat="1" ht="20.25">
      <c r="A3" s="7" t="s">
        <v>1312</v>
      </c>
    </row>
    <row r="4" spans="1:3" s="8" customFormat="1" ht="20.25">
      <c r="A4" s="7" t="s">
        <v>1313</v>
      </c>
    </row>
    <row r="8" spans="1:3" s="25" customFormat="1">
      <c r="A8" s="23" t="s">
        <v>0</v>
      </c>
      <c r="B8" s="23" t="s">
        <v>309</v>
      </c>
    </row>
    <row r="9" spans="1:3" s="10" customFormat="1"/>
    <row r="10" spans="1:3" ht="6" customHeight="1">
      <c r="A10" s="11"/>
      <c r="B10" s="11"/>
      <c r="C10" s="11"/>
    </row>
    <row r="11" spans="1:3" s="24" customFormat="1">
      <c r="A11" s="22" t="s">
        <v>671</v>
      </c>
      <c r="B11" s="22" t="s">
        <v>1310</v>
      </c>
      <c r="C11" s="22" t="s">
        <v>1</v>
      </c>
    </row>
    <row r="12" spans="1:3">
      <c r="A12" s="13" t="s">
        <v>2815</v>
      </c>
      <c r="B12" s="14" t="s">
        <v>2788</v>
      </c>
      <c r="C12" s="14" t="s">
        <v>2729</v>
      </c>
    </row>
    <row r="13" spans="1:3">
      <c r="A13" s="13"/>
      <c r="B13" s="14" t="s">
        <v>2789</v>
      </c>
      <c r="C13" s="14" t="s">
        <v>2731</v>
      </c>
    </row>
    <row r="14" spans="1:3">
      <c r="A14" s="13"/>
      <c r="B14" s="14" t="s">
        <v>2790</v>
      </c>
      <c r="C14" s="14" t="s">
        <v>2733</v>
      </c>
    </row>
    <row r="15" spans="1:3">
      <c r="A15" s="13"/>
      <c r="B15" s="14" t="s">
        <v>2791</v>
      </c>
      <c r="C15" s="14" t="s">
        <v>1881</v>
      </c>
    </row>
    <row r="16" spans="1:3">
      <c r="A16" s="13"/>
      <c r="B16" s="14" t="s">
        <v>2792</v>
      </c>
      <c r="C16" s="14" t="s">
        <v>2737</v>
      </c>
    </row>
    <row r="17" spans="1:3">
      <c r="A17" s="13"/>
      <c r="B17" s="14" t="s">
        <v>2793</v>
      </c>
      <c r="C17" s="14" t="s">
        <v>2740</v>
      </c>
    </row>
    <row r="18" spans="1:3">
      <c r="A18" s="13"/>
      <c r="B18" s="14" t="s">
        <v>2794</v>
      </c>
      <c r="C18" s="14" t="s">
        <v>2742</v>
      </c>
    </row>
    <row r="19" spans="1:3">
      <c r="A19" s="13"/>
      <c r="B19" s="14" t="s">
        <v>2795</v>
      </c>
      <c r="C19" s="14" t="s">
        <v>2744</v>
      </c>
    </row>
    <row r="20" spans="1:3">
      <c r="A20" s="13"/>
      <c r="B20" s="14" t="s">
        <v>2796</v>
      </c>
      <c r="C20" s="14" t="s">
        <v>2746</v>
      </c>
    </row>
    <row r="21" spans="1:3">
      <c r="A21" s="13"/>
      <c r="B21" s="14" t="s">
        <v>2797</v>
      </c>
      <c r="C21" s="14" t="s">
        <v>2747</v>
      </c>
    </row>
    <row r="22" spans="1:3">
      <c r="A22" s="13"/>
      <c r="B22" s="14" t="s">
        <v>2798</v>
      </c>
      <c r="C22" s="14" t="s">
        <v>2749</v>
      </c>
    </row>
    <row r="23" spans="1:3">
      <c r="A23" s="13"/>
      <c r="B23" s="14" t="s">
        <v>2799</v>
      </c>
      <c r="C23" s="14" t="s">
        <v>2752</v>
      </c>
    </row>
    <row r="24" spans="1:3">
      <c r="A24" s="13"/>
      <c r="B24" s="14" t="s">
        <v>2800</v>
      </c>
      <c r="C24" s="14" t="s">
        <v>2754</v>
      </c>
    </row>
    <row r="25" spans="1:3">
      <c r="A25" s="13"/>
      <c r="B25" s="14" t="s">
        <v>2801</v>
      </c>
      <c r="C25" s="14" t="s">
        <v>2757</v>
      </c>
    </row>
    <row r="26" spans="1:3">
      <c r="A26" s="13"/>
      <c r="B26" s="14" t="s">
        <v>2802</v>
      </c>
      <c r="C26" s="14" t="s">
        <v>2760</v>
      </c>
    </row>
    <row r="27" spans="1:3">
      <c r="A27" s="13"/>
      <c r="B27" s="14" t="s">
        <v>2803</v>
      </c>
      <c r="C27" s="14" t="s">
        <v>2763</v>
      </c>
    </row>
    <row r="28" spans="1:3">
      <c r="A28" s="13"/>
      <c r="B28" s="14" t="s">
        <v>2804</v>
      </c>
      <c r="C28" s="14" t="s">
        <v>2765</v>
      </c>
    </row>
    <row r="29" spans="1:3">
      <c r="A29" s="13"/>
      <c r="B29" s="14" t="s">
        <v>2805</v>
      </c>
      <c r="C29" s="14" t="s">
        <v>2767</v>
      </c>
    </row>
    <row r="30" spans="1:3">
      <c r="A30" s="13"/>
      <c r="B30" s="14" t="s">
        <v>2806</v>
      </c>
      <c r="C30" s="14" t="s">
        <v>2769</v>
      </c>
    </row>
    <row r="31" spans="1:3">
      <c r="A31" s="13"/>
      <c r="B31" s="14" t="s">
        <v>2807</v>
      </c>
      <c r="C31" s="14" t="s">
        <v>2770</v>
      </c>
    </row>
    <row r="32" spans="1:3">
      <c r="A32" s="13"/>
      <c r="B32" s="14" t="s">
        <v>2808</v>
      </c>
      <c r="C32" s="14" t="s">
        <v>2771</v>
      </c>
    </row>
    <row r="33" spans="1:3">
      <c r="A33" s="13"/>
      <c r="B33" s="14" t="s">
        <v>2809</v>
      </c>
      <c r="C33" s="14" t="s">
        <v>2773</v>
      </c>
    </row>
    <row r="34" spans="1:3">
      <c r="A34" s="13"/>
      <c r="B34" s="14" t="s">
        <v>2810</v>
      </c>
      <c r="C34" s="14" t="s">
        <v>2776</v>
      </c>
    </row>
    <row r="35" spans="1:3">
      <c r="A35" s="13"/>
      <c r="B35" s="14" t="s">
        <v>2811</v>
      </c>
      <c r="C35" s="14" t="s">
        <v>2778</v>
      </c>
    </row>
    <row r="36" spans="1:3">
      <c r="A36" s="13"/>
      <c r="B36" s="14" t="s">
        <v>2812</v>
      </c>
      <c r="C36" s="14" t="s">
        <v>2780</v>
      </c>
    </row>
    <row r="37" spans="1:3">
      <c r="A37" s="13"/>
      <c r="B37" s="14" t="s">
        <v>2813</v>
      </c>
      <c r="C37" s="14" t="s">
        <v>2784</v>
      </c>
    </row>
    <row r="38" spans="1:3">
      <c r="A38" s="13"/>
      <c r="B38" s="14" t="s">
        <v>2814</v>
      </c>
      <c r="C38" s="14" t="s">
        <v>2786</v>
      </c>
    </row>
    <row r="39" spans="1:3" ht="6" customHeight="1">
      <c r="A39" s="11"/>
      <c r="B39" s="11"/>
      <c r="C39" s="11"/>
    </row>
  </sheetData>
  <sheetProtection password="DE74" sheet="1" objects="1" scenarios="1"/>
  <pageMargins left="0.5" right="0.5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57"/>
  <sheetViews>
    <sheetView workbookViewId="0">
      <selection activeCell="G24" sqref="A24:G25"/>
    </sheetView>
  </sheetViews>
  <sheetFormatPr defaultColWidth="10.28515625" defaultRowHeight="15"/>
  <cols>
    <col min="1" max="1" width="27" customWidth="1"/>
    <col min="2" max="2" width="40.42578125" customWidth="1"/>
    <col min="3" max="3" width="24.28515625" customWidth="1"/>
    <col min="4" max="4" width="40.42578125" customWidth="1"/>
    <col min="5" max="5" width="21.5703125" customWidth="1"/>
    <col min="6" max="6" width="27" customWidth="1"/>
    <col min="7" max="8" width="45.5703125" customWidth="1"/>
    <col min="257" max="257" width="27" customWidth="1"/>
    <col min="258" max="258" width="40.42578125" customWidth="1"/>
    <col min="259" max="259" width="24.28515625" customWidth="1"/>
    <col min="260" max="260" width="40.42578125" customWidth="1"/>
    <col min="261" max="261" width="21.5703125" customWidth="1"/>
    <col min="262" max="262" width="27" customWidth="1"/>
    <col min="263" max="264" width="45.5703125" customWidth="1"/>
    <col min="513" max="513" width="27" customWidth="1"/>
    <col min="514" max="514" width="40.42578125" customWidth="1"/>
    <col min="515" max="515" width="24.28515625" customWidth="1"/>
    <col min="516" max="516" width="40.42578125" customWidth="1"/>
    <col min="517" max="517" width="21.5703125" customWidth="1"/>
    <col min="518" max="518" width="27" customWidth="1"/>
    <col min="519" max="520" width="45.5703125" customWidth="1"/>
    <col min="769" max="769" width="27" customWidth="1"/>
    <col min="770" max="770" width="40.42578125" customWidth="1"/>
    <col min="771" max="771" width="24.28515625" customWidth="1"/>
    <col min="772" max="772" width="40.42578125" customWidth="1"/>
    <col min="773" max="773" width="21.5703125" customWidth="1"/>
    <col min="774" max="774" width="27" customWidth="1"/>
    <col min="775" max="776" width="45.5703125" customWidth="1"/>
    <col min="1025" max="1025" width="27" customWidth="1"/>
    <col min="1026" max="1026" width="40.42578125" customWidth="1"/>
    <col min="1027" max="1027" width="24.28515625" customWidth="1"/>
    <col min="1028" max="1028" width="40.42578125" customWidth="1"/>
    <col min="1029" max="1029" width="21.5703125" customWidth="1"/>
    <col min="1030" max="1030" width="27" customWidth="1"/>
    <col min="1031" max="1032" width="45.5703125" customWidth="1"/>
    <col min="1281" max="1281" width="27" customWidth="1"/>
    <col min="1282" max="1282" width="40.42578125" customWidth="1"/>
    <col min="1283" max="1283" width="24.28515625" customWidth="1"/>
    <col min="1284" max="1284" width="40.42578125" customWidth="1"/>
    <col min="1285" max="1285" width="21.5703125" customWidth="1"/>
    <col min="1286" max="1286" width="27" customWidth="1"/>
    <col min="1287" max="1288" width="45.5703125" customWidth="1"/>
    <col min="1537" max="1537" width="27" customWidth="1"/>
    <col min="1538" max="1538" width="40.42578125" customWidth="1"/>
    <col min="1539" max="1539" width="24.28515625" customWidth="1"/>
    <col min="1540" max="1540" width="40.42578125" customWidth="1"/>
    <col min="1541" max="1541" width="21.5703125" customWidth="1"/>
    <col min="1542" max="1542" width="27" customWidth="1"/>
    <col min="1543" max="1544" width="45.5703125" customWidth="1"/>
    <col min="1793" max="1793" width="27" customWidth="1"/>
    <col min="1794" max="1794" width="40.42578125" customWidth="1"/>
    <col min="1795" max="1795" width="24.28515625" customWidth="1"/>
    <col min="1796" max="1796" width="40.42578125" customWidth="1"/>
    <col min="1797" max="1797" width="21.5703125" customWidth="1"/>
    <col min="1798" max="1798" width="27" customWidth="1"/>
    <col min="1799" max="1800" width="45.5703125" customWidth="1"/>
    <col min="2049" max="2049" width="27" customWidth="1"/>
    <col min="2050" max="2050" width="40.42578125" customWidth="1"/>
    <col min="2051" max="2051" width="24.28515625" customWidth="1"/>
    <col min="2052" max="2052" width="40.42578125" customWidth="1"/>
    <col min="2053" max="2053" width="21.5703125" customWidth="1"/>
    <col min="2054" max="2054" width="27" customWidth="1"/>
    <col min="2055" max="2056" width="45.5703125" customWidth="1"/>
    <col min="2305" max="2305" width="27" customWidth="1"/>
    <col min="2306" max="2306" width="40.42578125" customWidth="1"/>
    <col min="2307" max="2307" width="24.28515625" customWidth="1"/>
    <col min="2308" max="2308" width="40.42578125" customWidth="1"/>
    <col min="2309" max="2309" width="21.5703125" customWidth="1"/>
    <col min="2310" max="2310" width="27" customWidth="1"/>
    <col min="2311" max="2312" width="45.5703125" customWidth="1"/>
    <col min="2561" max="2561" width="27" customWidth="1"/>
    <col min="2562" max="2562" width="40.42578125" customWidth="1"/>
    <col min="2563" max="2563" width="24.28515625" customWidth="1"/>
    <col min="2564" max="2564" width="40.42578125" customWidth="1"/>
    <col min="2565" max="2565" width="21.5703125" customWidth="1"/>
    <col min="2566" max="2566" width="27" customWidth="1"/>
    <col min="2567" max="2568" width="45.5703125" customWidth="1"/>
    <col min="2817" max="2817" width="27" customWidth="1"/>
    <col min="2818" max="2818" width="40.42578125" customWidth="1"/>
    <col min="2819" max="2819" width="24.28515625" customWidth="1"/>
    <col min="2820" max="2820" width="40.42578125" customWidth="1"/>
    <col min="2821" max="2821" width="21.5703125" customWidth="1"/>
    <col min="2822" max="2822" width="27" customWidth="1"/>
    <col min="2823" max="2824" width="45.5703125" customWidth="1"/>
    <col min="3073" max="3073" width="27" customWidth="1"/>
    <col min="3074" max="3074" width="40.42578125" customWidth="1"/>
    <col min="3075" max="3075" width="24.28515625" customWidth="1"/>
    <col min="3076" max="3076" width="40.42578125" customWidth="1"/>
    <col min="3077" max="3077" width="21.5703125" customWidth="1"/>
    <col min="3078" max="3078" width="27" customWidth="1"/>
    <col min="3079" max="3080" width="45.5703125" customWidth="1"/>
    <col min="3329" max="3329" width="27" customWidth="1"/>
    <col min="3330" max="3330" width="40.42578125" customWidth="1"/>
    <col min="3331" max="3331" width="24.28515625" customWidth="1"/>
    <col min="3332" max="3332" width="40.42578125" customWidth="1"/>
    <col min="3333" max="3333" width="21.5703125" customWidth="1"/>
    <col min="3334" max="3334" width="27" customWidth="1"/>
    <col min="3335" max="3336" width="45.5703125" customWidth="1"/>
    <col min="3585" max="3585" width="27" customWidth="1"/>
    <col min="3586" max="3586" width="40.42578125" customWidth="1"/>
    <col min="3587" max="3587" width="24.28515625" customWidth="1"/>
    <col min="3588" max="3588" width="40.42578125" customWidth="1"/>
    <col min="3589" max="3589" width="21.5703125" customWidth="1"/>
    <col min="3590" max="3590" width="27" customWidth="1"/>
    <col min="3591" max="3592" width="45.5703125" customWidth="1"/>
    <col min="3841" max="3841" width="27" customWidth="1"/>
    <col min="3842" max="3842" width="40.42578125" customWidth="1"/>
    <col min="3843" max="3843" width="24.28515625" customWidth="1"/>
    <col min="3844" max="3844" width="40.42578125" customWidth="1"/>
    <col min="3845" max="3845" width="21.5703125" customWidth="1"/>
    <col min="3846" max="3846" width="27" customWidth="1"/>
    <col min="3847" max="3848" width="45.5703125" customWidth="1"/>
    <col min="4097" max="4097" width="27" customWidth="1"/>
    <col min="4098" max="4098" width="40.42578125" customWidth="1"/>
    <col min="4099" max="4099" width="24.28515625" customWidth="1"/>
    <col min="4100" max="4100" width="40.42578125" customWidth="1"/>
    <col min="4101" max="4101" width="21.5703125" customWidth="1"/>
    <col min="4102" max="4102" width="27" customWidth="1"/>
    <col min="4103" max="4104" width="45.5703125" customWidth="1"/>
    <col min="4353" max="4353" width="27" customWidth="1"/>
    <col min="4354" max="4354" width="40.42578125" customWidth="1"/>
    <col min="4355" max="4355" width="24.28515625" customWidth="1"/>
    <col min="4356" max="4356" width="40.42578125" customWidth="1"/>
    <col min="4357" max="4357" width="21.5703125" customWidth="1"/>
    <col min="4358" max="4358" width="27" customWidth="1"/>
    <col min="4359" max="4360" width="45.5703125" customWidth="1"/>
    <col min="4609" max="4609" width="27" customWidth="1"/>
    <col min="4610" max="4610" width="40.42578125" customWidth="1"/>
    <col min="4611" max="4611" width="24.28515625" customWidth="1"/>
    <col min="4612" max="4612" width="40.42578125" customWidth="1"/>
    <col min="4613" max="4613" width="21.5703125" customWidth="1"/>
    <col min="4614" max="4614" width="27" customWidth="1"/>
    <col min="4615" max="4616" width="45.5703125" customWidth="1"/>
    <col min="4865" max="4865" width="27" customWidth="1"/>
    <col min="4866" max="4866" width="40.42578125" customWidth="1"/>
    <col min="4867" max="4867" width="24.28515625" customWidth="1"/>
    <col min="4868" max="4868" width="40.42578125" customWidth="1"/>
    <col min="4869" max="4869" width="21.5703125" customWidth="1"/>
    <col min="4870" max="4870" width="27" customWidth="1"/>
    <col min="4871" max="4872" width="45.5703125" customWidth="1"/>
    <col min="5121" max="5121" width="27" customWidth="1"/>
    <col min="5122" max="5122" width="40.42578125" customWidth="1"/>
    <col min="5123" max="5123" width="24.28515625" customWidth="1"/>
    <col min="5124" max="5124" width="40.42578125" customWidth="1"/>
    <col min="5125" max="5125" width="21.5703125" customWidth="1"/>
    <col min="5126" max="5126" width="27" customWidth="1"/>
    <col min="5127" max="5128" width="45.5703125" customWidth="1"/>
    <col min="5377" max="5377" width="27" customWidth="1"/>
    <col min="5378" max="5378" width="40.42578125" customWidth="1"/>
    <col min="5379" max="5379" width="24.28515625" customWidth="1"/>
    <col min="5380" max="5380" width="40.42578125" customWidth="1"/>
    <col min="5381" max="5381" width="21.5703125" customWidth="1"/>
    <col min="5382" max="5382" width="27" customWidth="1"/>
    <col min="5383" max="5384" width="45.5703125" customWidth="1"/>
    <col min="5633" max="5633" width="27" customWidth="1"/>
    <col min="5634" max="5634" width="40.42578125" customWidth="1"/>
    <col min="5635" max="5635" width="24.28515625" customWidth="1"/>
    <col min="5636" max="5636" width="40.42578125" customWidth="1"/>
    <col min="5637" max="5637" width="21.5703125" customWidth="1"/>
    <col min="5638" max="5638" width="27" customWidth="1"/>
    <col min="5639" max="5640" width="45.5703125" customWidth="1"/>
    <col min="5889" max="5889" width="27" customWidth="1"/>
    <col min="5890" max="5890" width="40.42578125" customWidth="1"/>
    <col min="5891" max="5891" width="24.28515625" customWidth="1"/>
    <col min="5892" max="5892" width="40.42578125" customWidth="1"/>
    <col min="5893" max="5893" width="21.5703125" customWidth="1"/>
    <col min="5894" max="5894" width="27" customWidth="1"/>
    <col min="5895" max="5896" width="45.5703125" customWidth="1"/>
    <col min="6145" max="6145" width="27" customWidth="1"/>
    <col min="6146" max="6146" width="40.42578125" customWidth="1"/>
    <col min="6147" max="6147" width="24.28515625" customWidth="1"/>
    <col min="6148" max="6148" width="40.42578125" customWidth="1"/>
    <col min="6149" max="6149" width="21.5703125" customWidth="1"/>
    <col min="6150" max="6150" width="27" customWidth="1"/>
    <col min="6151" max="6152" width="45.5703125" customWidth="1"/>
    <col min="6401" max="6401" width="27" customWidth="1"/>
    <col min="6402" max="6402" width="40.42578125" customWidth="1"/>
    <col min="6403" max="6403" width="24.28515625" customWidth="1"/>
    <col min="6404" max="6404" width="40.42578125" customWidth="1"/>
    <col min="6405" max="6405" width="21.5703125" customWidth="1"/>
    <col min="6406" max="6406" width="27" customWidth="1"/>
    <col min="6407" max="6408" width="45.5703125" customWidth="1"/>
    <col min="6657" max="6657" width="27" customWidth="1"/>
    <col min="6658" max="6658" width="40.42578125" customWidth="1"/>
    <col min="6659" max="6659" width="24.28515625" customWidth="1"/>
    <col min="6660" max="6660" width="40.42578125" customWidth="1"/>
    <col min="6661" max="6661" width="21.5703125" customWidth="1"/>
    <col min="6662" max="6662" width="27" customWidth="1"/>
    <col min="6663" max="6664" width="45.5703125" customWidth="1"/>
    <col min="6913" max="6913" width="27" customWidth="1"/>
    <col min="6914" max="6914" width="40.42578125" customWidth="1"/>
    <col min="6915" max="6915" width="24.28515625" customWidth="1"/>
    <col min="6916" max="6916" width="40.42578125" customWidth="1"/>
    <col min="6917" max="6917" width="21.5703125" customWidth="1"/>
    <col min="6918" max="6918" width="27" customWidth="1"/>
    <col min="6919" max="6920" width="45.5703125" customWidth="1"/>
    <col min="7169" max="7169" width="27" customWidth="1"/>
    <col min="7170" max="7170" width="40.42578125" customWidth="1"/>
    <col min="7171" max="7171" width="24.28515625" customWidth="1"/>
    <col min="7172" max="7172" width="40.42578125" customWidth="1"/>
    <col min="7173" max="7173" width="21.5703125" customWidth="1"/>
    <col min="7174" max="7174" width="27" customWidth="1"/>
    <col min="7175" max="7176" width="45.5703125" customWidth="1"/>
    <col min="7425" max="7425" width="27" customWidth="1"/>
    <col min="7426" max="7426" width="40.42578125" customWidth="1"/>
    <col min="7427" max="7427" width="24.28515625" customWidth="1"/>
    <col min="7428" max="7428" width="40.42578125" customWidth="1"/>
    <col min="7429" max="7429" width="21.5703125" customWidth="1"/>
    <col min="7430" max="7430" width="27" customWidth="1"/>
    <col min="7431" max="7432" width="45.5703125" customWidth="1"/>
    <col min="7681" max="7681" width="27" customWidth="1"/>
    <col min="7682" max="7682" width="40.42578125" customWidth="1"/>
    <col min="7683" max="7683" width="24.28515625" customWidth="1"/>
    <col min="7684" max="7684" width="40.42578125" customWidth="1"/>
    <col min="7685" max="7685" width="21.5703125" customWidth="1"/>
    <col min="7686" max="7686" width="27" customWidth="1"/>
    <col min="7687" max="7688" width="45.5703125" customWidth="1"/>
    <col min="7937" max="7937" width="27" customWidth="1"/>
    <col min="7938" max="7938" width="40.42578125" customWidth="1"/>
    <col min="7939" max="7939" width="24.28515625" customWidth="1"/>
    <col min="7940" max="7940" width="40.42578125" customWidth="1"/>
    <col min="7941" max="7941" width="21.5703125" customWidth="1"/>
    <col min="7942" max="7942" width="27" customWidth="1"/>
    <col min="7943" max="7944" width="45.5703125" customWidth="1"/>
    <col min="8193" max="8193" width="27" customWidth="1"/>
    <col min="8194" max="8194" width="40.42578125" customWidth="1"/>
    <col min="8195" max="8195" width="24.28515625" customWidth="1"/>
    <col min="8196" max="8196" width="40.42578125" customWidth="1"/>
    <col min="8197" max="8197" width="21.5703125" customWidth="1"/>
    <col min="8198" max="8198" width="27" customWidth="1"/>
    <col min="8199" max="8200" width="45.5703125" customWidth="1"/>
    <col min="8449" max="8449" width="27" customWidth="1"/>
    <col min="8450" max="8450" width="40.42578125" customWidth="1"/>
    <col min="8451" max="8451" width="24.28515625" customWidth="1"/>
    <col min="8452" max="8452" width="40.42578125" customWidth="1"/>
    <col min="8453" max="8453" width="21.5703125" customWidth="1"/>
    <col min="8454" max="8454" width="27" customWidth="1"/>
    <col min="8455" max="8456" width="45.5703125" customWidth="1"/>
    <col min="8705" max="8705" width="27" customWidth="1"/>
    <col min="8706" max="8706" width="40.42578125" customWidth="1"/>
    <col min="8707" max="8707" width="24.28515625" customWidth="1"/>
    <col min="8708" max="8708" width="40.42578125" customWidth="1"/>
    <col min="8709" max="8709" width="21.5703125" customWidth="1"/>
    <col min="8710" max="8710" width="27" customWidth="1"/>
    <col min="8711" max="8712" width="45.5703125" customWidth="1"/>
    <col min="8961" max="8961" width="27" customWidth="1"/>
    <col min="8962" max="8962" width="40.42578125" customWidth="1"/>
    <col min="8963" max="8963" width="24.28515625" customWidth="1"/>
    <col min="8964" max="8964" width="40.42578125" customWidth="1"/>
    <col min="8965" max="8965" width="21.5703125" customWidth="1"/>
    <col min="8966" max="8966" width="27" customWidth="1"/>
    <col min="8967" max="8968" width="45.5703125" customWidth="1"/>
    <col min="9217" max="9217" width="27" customWidth="1"/>
    <col min="9218" max="9218" width="40.42578125" customWidth="1"/>
    <col min="9219" max="9219" width="24.28515625" customWidth="1"/>
    <col min="9220" max="9220" width="40.42578125" customWidth="1"/>
    <col min="9221" max="9221" width="21.5703125" customWidth="1"/>
    <col min="9222" max="9222" width="27" customWidth="1"/>
    <col min="9223" max="9224" width="45.5703125" customWidth="1"/>
    <col min="9473" max="9473" width="27" customWidth="1"/>
    <col min="9474" max="9474" width="40.42578125" customWidth="1"/>
    <col min="9475" max="9475" width="24.28515625" customWidth="1"/>
    <col min="9476" max="9476" width="40.42578125" customWidth="1"/>
    <col min="9477" max="9477" width="21.5703125" customWidth="1"/>
    <col min="9478" max="9478" width="27" customWidth="1"/>
    <col min="9479" max="9480" width="45.5703125" customWidth="1"/>
    <col min="9729" max="9729" width="27" customWidth="1"/>
    <col min="9730" max="9730" width="40.42578125" customWidth="1"/>
    <col min="9731" max="9731" width="24.28515625" customWidth="1"/>
    <col min="9732" max="9732" width="40.42578125" customWidth="1"/>
    <col min="9733" max="9733" width="21.5703125" customWidth="1"/>
    <col min="9734" max="9734" width="27" customWidth="1"/>
    <col min="9735" max="9736" width="45.5703125" customWidth="1"/>
    <col min="9985" max="9985" width="27" customWidth="1"/>
    <col min="9986" max="9986" width="40.42578125" customWidth="1"/>
    <col min="9987" max="9987" width="24.28515625" customWidth="1"/>
    <col min="9988" max="9988" width="40.42578125" customWidth="1"/>
    <col min="9989" max="9989" width="21.5703125" customWidth="1"/>
    <col min="9990" max="9990" width="27" customWidth="1"/>
    <col min="9991" max="9992" width="45.5703125" customWidth="1"/>
    <col min="10241" max="10241" width="27" customWidth="1"/>
    <col min="10242" max="10242" width="40.42578125" customWidth="1"/>
    <col min="10243" max="10243" width="24.28515625" customWidth="1"/>
    <col min="10244" max="10244" width="40.42578125" customWidth="1"/>
    <col min="10245" max="10245" width="21.5703125" customWidth="1"/>
    <col min="10246" max="10246" width="27" customWidth="1"/>
    <col min="10247" max="10248" width="45.5703125" customWidth="1"/>
    <col min="10497" max="10497" width="27" customWidth="1"/>
    <col min="10498" max="10498" width="40.42578125" customWidth="1"/>
    <col min="10499" max="10499" width="24.28515625" customWidth="1"/>
    <col min="10500" max="10500" width="40.42578125" customWidth="1"/>
    <col min="10501" max="10501" width="21.5703125" customWidth="1"/>
    <col min="10502" max="10502" width="27" customWidth="1"/>
    <col min="10503" max="10504" width="45.5703125" customWidth="1"/>
    <col min="10753" max="10753" width="27" customWidth="1"/>
    <col min="10754" max="10754" width="40.42578125" customWidth="1"/>
    <col min="10755" max="10755" width="24.28515625" customWidth="1"/>
    <col min="10756" max="10756" width="40.42578125" customWidth="1"/>
    <col min="10757" max="10757" width="21.5703125" customWidth="1"/>
    <col min="10758" max="10758" width="27" customWidth="1"/>
    <col min="10759" max="10760" width="45.5703125" customWidth="1"/>
    <col min="11009" max="11009" width="27" customWidth="1"/>
    <col min="11010" max="11010" width="40.42578125" customWidth="1"/>
    <col min="11011" max="11011" width="24.28515625" customWidth="1"/>
    <col min="11012" max="11012" width="40.42578125" customWidth="1"/>
    <col min="11013" max="11013" width="21.5703125" customWidth="1"/>
    <col min="11014" max="11014" width="27" customWidth="1"/>
    <col min="11015" max="11016" width="45.5703125" customWidth="1"/>
    <col min="11265" max="11265" width="27" customWidth="1"/>
    <col min="11266" max="11266" width="40.42578125" customWidth="1"/>
    <col min="11267" max="11267" width="24.28515625" customWidth="1"/>
    <col min="11268" max="11268" width="40.42578125" customWidth="1"/>
    <col min="11269" max="11269" width="21.5703125" customWidth="1"/>
    <col min="11270" max="11270" width="27" customWidth="1"/>
    <col min="11271" max="11272" width="45.5703125" customWidth="1"/>
    <col min="11521" max="11521" width="27" customWidth="1"/>
    <col min="11522" max="11522" width="40.42578125" customWidth="1"/>
    <col min="11523" max="11523" width="24.28515625" customWidth="1"/>
    <col min="11524" max="11524" width="40.42578125" customWidth="1"/>
    <col min="11525" max="11525" width="21.5703125" customWidth="1"/>
    <col min="11526" max="11526" width="27" customWidth="1"/>
    <col min="11527" max="11528" width="45.5703125" customWidth="1"/>
    <col min="11777" max="11777" width="27" customWidth="1"/>
    <col min="11778" max="11778" width="40.42578125" customWidth="1"/>
    <col min="11779" max="11779" width="24.28515625" customWidth="1"/>
    <col min="11780" max="11780" width="40.42578125" customWidth="1"/>
    <col min="11781" max="11781" width="21.5703125" customWidth="1"/>
    <col min="11782" max="11782" width="27" customWidth="1"/>
    <col min="11783" max="11784" width="45.5703125" customWidth="1"/>
    <col min="12033" max="12033" width="27" customWidth="1"/>
    <col min="12034" max="12034" width="40.42578125" customWidth="1"/>
    <col min="12035" max="12035" width="24.28515625" customWidth="1"/>
    <col min="12036" max="12036" width="40.42578125" customWidth="1"/>
    <col min="12037" max="12037" width="21.5703125" customWidth="1"/>
    <col min="12038" max="12038" width="27" customWidth="1"/>
    <col min="12039" max="12040" width="45.5703125" customWidth="1"/>
    <col min="12289" max="12289" width="27" customWidth="1"/>
    <col min="12290" max="12290" width="40.42578125" customWidth="1"/>
    <col min="12291" max="12291" width="24.28515625" customWidth="1"/>
    <col min="12292" max="12292" width="40.42578125" customWidth="1"/>
    <col min="12293" max="12293" width="21.5703125" customWidth="1"/>
    <col min="12294" max="12294" width="27" customWidth="1"/>
    <col min="12295" max="12296" width="45.5703125" customWidth="1"/>
    <col min="12545" max="12545" width="27" customWidth="1"/>
    <col min="12546" max="12546" width="40.42578125" customWidth="1"/>
    <col min="12547" max="12547" width="24.28515625" customWidth="1"/>
    <col min="12548" max="12548" width="40.42578125" customWidth="1"/>
    <col min="12549" max="12549" width="21.5703125" customWidth="1"/>
    <col min="12550" max="12550" width="27" customWidth="1"/>
    <col min="12551" max="12552" width="45.5703125" customWidth="1"/>
    <col min="12801" max="12801" width="27" customWidth="1"/>
    <col min="12802" max="12802" width="40.42578125" customWidth="1"/>
    <col min="12803" max="12803" width="24.28515625" customWidth="1"/>
    <col min="12804" max="12804" width="40.42578125" customWidth="1"/>
    <col min="12805" max="12805" width="21.5703125" customWidth="1"/>
    <col min="12806" max="12806" width="27" customWidth="1"/>
    <col min="12807" max="12808" width="45.5703125" customWidth="1"/>
    <col min="13057" max="13057" width="27" customWidth="1"/>
    <col min="13058" max="13058" width="40.42578125" customWidth="1"/>
    <col min="13059" max="13059" width="24.28515625" customWidth="1"/>
    <col min="13060" max="13060" width="40.42578125" customWidth="1"/>
    <col min="13061" max="13061" width="21.5703125" customWidth="1"/>
    <col min="13062" max="13062" width="27" customWidth="1"/>
    <col min="13063" max="13064" width="45.5703125" customWidth="1"/>
    <col min="13313" max="13313" width="27" customWidth="1"/>
    <col min="13314" max="13314" width="40.42578125" customWidth="1"/>
    <col min="13315" max="13315" width="24.28515625" customWidth="1"/>
    <col min="13316" max="13316" width="40.42578125" customWidth="1"/>
    <col min="13317" max="13317" width="21.5703125" customWidth="1"/>
    <col min="13318" max="13318" width="27" customWidth="1"/>
    <col min="13319" max="13320" width="45.5703125" customWidth="1"/>
    <col min="13569" max="13569" width="27" customWidth="1"/>
    <col min="13570" max="13570" width="40.42578125" customWidth="1"/>
    <col min="13571" max="13571" width="24.28515625" customWidth="1"/>
    <col min="13572" max="13572" width="40.42578125" customWidth="1"/>
    <col min="13573" max="13573" width="21.5703125" customWidth="1"/>
    <col min="13574" max="13574" width="27" customWidth="1"/>
    <col min="13575" max="13576" width="45.5703125" customWidth="1"/>
    <col min="13825" max="13825" width="27" customWidth="1"/>
    <col min="13826" max="13826" width="40.42578125" customWidth="1"/>
    <col min="13827" max="13827" width="24.28515625" customWidth="1"/>
    <col min="13828" max="13828" width="40.42578125" customWidth="1"/>
    <col min="13829" max="13829" width="21.5703125" customWidth="1"/>
    <col min="13830" max="13830" width="27" customWidth="1"/>
    <col min="13831" max="13832" width="45.5703125" customWidth="1"/>
    <col min="14081" max="14081" width="27" customWidth="1"/>
    <col min="14082" max="14082" width="40.42578125" customWidth="1"/>
    <col min="14083" max="14083" width="24.28515625" customWidth="1"/>
    <col min="14084" max="14084" width="40.42578125" customWidth="1"/>
    <col min="14085" max="14085" width="21.5703125" customWidth="1"/>
    <col min="14086" max="14086" width="27" customWidth="1"/>
    <col min="14087" max="14088" width="45.5703125" customWidth="1"/>
    <col min="14337" max="14337" width="27" customWidth="1"/>
    <col min="14338" max="14338" width="40.42578125" customWidth="1"/>
    <col min="14339" max="14339" width="24.28515625" customWidth="1"/>
    <col min="14340" max="14340" width="40.42578125" customWidth="1"/>
    <col min="14341" max="14341" width="21.5703125" customWidth="1"/>
    <col min="14342" max="14342" width="27" customWidth="1"/>
    <col min="14343" max="14344" width="45.5703125" customWidth="1"/>
    <col min="14593" max="14593" width="27" customWidth="1"/>
    <col min="14594" max="14594" width="40.42578125" customWidth="1"/>
    <col min="14595" max="14595" width="24.28515625" customWidth="1"/>
    <col min="14596" max="14596" width="40.42578125" customWidth="1"/>
    <col min="14597" max="14597" width="21.5703125" customWidth="1"/>
    <col min="14598" max="14598" width="27" customWidth="1"/>
    <col min="14599" max="14600" width="45.5703125" customWidth="1"/>
    <col min="14849" max="14849" width="27" customWidth="1"/>
    <col min="14850" max="14850" width="40.42578125" customWidth="1"/>
    <col min="14851" max="14851" width="24.28515625" customWidth="1"/>
    <col min="14852" max="14852" width="40.42578125" customWidth="1"/>
    <col min="14853" max="14853" width="21.5703125" customWidth="1"/>
    <col min="14854" max="14854" width="27" customWidth="1"/>
    <col min="14855" max="14856" width="45.5703125" customWidth="1"/>
    <col min="15105" max="15105" width="27" customWidth="1"/>
    <col min="15106" max="15106" width="40.42578125" customWidth="1"/>
    <col min="15107" max="15107" width="24.28515625" customWidth="1"/>
    <col min="15108" max="15108" width="40.42578125" customWidth="1"/>
    <col min="15109" max="15109" width="21.5703125" customWidth="1"/>
    <col min="15110" max="15110" width="27" customWidth="1"/>
    <col min="15111" max="15112" width="45.5703125" customWidth="1"/>
    <col min="15361" max="15361" width="27" customWidth="1"/>
    <col min="15362" max="15362" width="40.42578125" customWidth="1"/>
    <col min="15363" max="15363" width="24.28515625" customWidth="1"/>
    <col min="15364" max="15364" width="40.42578125" customWidth="1"/>
    <col min="15365" max="15365" width="21.5703125" customWidth="1"/>
    <col min="15366" max="15366" width="27" customWidth="1"/>
    <col min="15367" max="15368" width="45.5703125" customWidth="1"/>
    <col min="15617" max="15617" width="27" customWidth="1"/>
    <col min="15618" max="15618" width="40.42578125" customWidth="1"/>
    <col min="15619" max="15619" width="24.28515625" customWidth="1"/>
    <col min="15620" max="15620" width="40.42578125" customWidth="1"/>
    <col min="15621" max="15621" width="21.5703125" customWidth="1"/>
    <col min="15622" max="15622" width="27" customWidth="1"/>
    <col min="15623" max="15624" width="45.5703125" customWidth="1"/>
    <col min="15873" max="15873" width="27" customWidth="1"/>
    <col min="15874" max="15874" width="40.42578125" customWidth="1"/>
    <col min="15875" max="15875" width="24.28515625" customWidth="1"/>
    <col min="15876" max="15876" width="40.42578125" customWidth="1"/>
    <col min="15877" max="15877" width="21.5703125" customWidth="1"/>
    <col min="15878" max="15878" width="27" customWidth="1"/>
    <col min="15879" max="15880" width="45.5703125" customWidth="1"/>
    <col min="16129" max="16129" width="27" customWidth="1"/>
    <col min="16130" max="16130" width="40.42578125" customWidth="1"/>
    <col min="16131" max="16131" width="24.28515625" customWidth="1"/>
    <col min="16132" max="16132" width="40.42578125" customWidth="1"/>
    <col min="16133" max="16133" width="21.5703125" customWidth="1"/>
    <col min="16134" max="16134" width="27" customWidth="1"/>
    <col min="16135" max="16136" width="45.5703125" customWidth="1"/>
  </cols>
  <sheetData>
    <row r="1" spans="1:7" ht="16.5" thickTop="1" thickBot="1">
      <c r="A1" s="20" t="s">
        <v>1897</v>
      </c>
      <c r="B1" s="4" t="s">
        <v>1898</v>
      </c>
    </row>
    <row r="2" spans="1:7" ht="16.5" thickTop="1" thickBot="1">
      <c r="A2" s="20" t="s">
        <v>1899</v>
      </c>
      <c r="B2" s="20" t="s">
        <v>0</v>
      </c>
      <c r="C2" s="20" t="s">
        <v>1</v>
      </c>
      <c r="D2" s="20" t="s">
        <v>1900</v>
      </c>
      <c r="E2" s="20" t="s">
        <v>1901</v>
      </c>
      <c r="F2" s="20" t="s">
        <v>1902</v>
      </c>
      <c r="G2" s="21" t="s">
        <v>2787</v>
      </c>
    </row>
    <row r="3" spans="1:7" ht="15.75" thickTop="1">
      <c r="A3" s="5" t="s">
        <v>1674</v>
      </c>
      <c r="B3" s="5" t="s">
        <v>2</v>
      </c>
      <c r="C3" s="5" t="s">
        <v>44</v>
      </c>
      <c r="D3" s="5" t="s">
        <v>1903</v>
      </c>
      <c r="E3" s="5" t="s">
        <v>1904</v>
      </c>
      <c r="F3" s="5" t="s">
        <v>1905</v>
      </c>
      <c r="G3" t="str">
        <f>CONCATENATE(E3, " : ", D3)</f>
        <v>51101 : Live animals</v>
      </c>
    </row>
    <row r="4" spans="1:7">
      <c r="A4" s="5" t="s">
        <v>1674</v>
      </c>
      <c r="B4" s="5" t="s">
        <v>2</v>
      </c>
      <c r="C4" s="5" t="s">
        <v>42</v>
      </c>
      <c r="D4" s="5" t="s">
        <v>1906</v>
      </c>
      <c r="E4" s="5" t="s">
        <v>1904</v>
      </c>
      <c r="F4" s="5" t="s">
        <v>1905</v>
      </c>
      <c r="G4" t="str">
        <f t="shared" ref="G4:G67" si="0">CONCATENATE(E4, " : ", D4)</f>
        <v>51101 : Domestic pet products</v>
      </c>
    </row>
    <row r="5" spans="1:7">
      <c r="A5" s="5" t="s">
        <v>1674</v>
      </c>
      <c r="B5" s="5" t="s">
        <v>2</v>
      </c>
      <c r="C5" s="5" t="s">
        <v>43</v>
      </c>
      <c r="D5" s="5" t="s">
        <v>1907</v>
      </c>
      <c r="E5" s="5" t="s">
        <v>1904</v>
      </c>
      <c r="F5" s="5" t="s">
        <v>1905</v>
      </c>
      <c r="G5" t="str">
        <f t="shared" si="0"/>
        <v>51101 : Animal feed</v>
      </c>
    </row>
    <row r="6" spans="1:7">
      <c r="A6" s="5" t="s">
        <v>1674</v>
      </c>
      <c r="B6" s="5" t="s">
        <v>2</v>
      </c>
      <c r="C6" s="5" t="s">
        <v>12</v>
      </c>
      <c r="D6" s="5" t="s">
        <v>1908</v>
      </c>
      <c r="E6" s="5" t="s">
        <v>1904</v>
      </c>
      <c r="F6" s="5" t="s">
        <v>1905</v>
      </c>
      <c r="G6" t="str">
        <f t="shared" si="0"/>
        <v>51101 : Animal containment &amp; habitats</v>
      </c>
    </row>
    <row r="7" spans="1:7">
      <c r="A7" s="5" t="s">
        <v>1674</v>
      </c>
      <c r="B7" s="5" t="s">
        <v>2</v>
      </c>
      <c r="C7" s="5" t="s">
        <v>45</v>
      </c>
      <c r="D7" s="5" t="s">
        <v>1909</v>
      </c>
      <c r="E7" s="5" t="s">
        <v>1904</v>
      </c>
      <c r="F7" s="5" t="s">
        <v>1905</v>
      </c>
      <c r="G7" t="str">
        <f t="shared" si="0"/>
        <v>51101 : Saddlery &amp; harness goods</v>
      </c>
    </row>
    <row r="8" spans="1:7">
      <c r="A8" s="5" t="s">
        <v>1674</v>
      </c>
      <c r="B8" s="5" t="s">
        <v>2</v>
      </c>
      <c r="C8" s="5" t="s">
        <v>13</v>
      </c>
      <c r="D8" s="5" t="s">
        <v>1910</v>
      </c>
      <c r="E8" s="5" t="s">
        <v>1911</v>
      </c>
      <c r="F8" s="5" t="s">
        <v>1912</v>
      </c>
      <c r="G8" t="str">
        <f t="shared" si="0"/>
        <v>51006 : Pest ctrl products</v>
      </c>
    </row>
    <row r="9" spans="1:7">
      <c r="A9" s="5" t="s">
        <v>1674</v>
      </c>
      <c r="B9" s="5" t="s">
        <v>2</v>
      </c>
      <c r="C9" s="5" t="s">
        <v>14</v>
      </c>
      <c r="D9" s="5" t="s">
        <v>1913</v>
      </c>
      <c r="E9" s="5" t="s">
        <v>1911</v>
      </c>
      <c r="F9" s="5" t="s">
        <v>1912</v>
      </c>
      <c r="G9" t="str">
        <f t="shared" si="0"/>
        <v>51006 : Pest ctrl products - Haz</v>
      </c>
    </row>
    <row r="10" spans="1:7">
      <c r="A10" s="5" t="s">
        <v>1674</v>
      </c>
      <c r="B10" s="5" t="s">
        <v>2</v>
      </c>
      <c r="C10" s="5" t="s">
        <v>46</v>
      </c>
      <c r="D10" s="5" t="s">
        <v>46</v>
      </c>
      <c r="E10" s="5" t="s">
        <v>1904</v>
      </c>
      <c r="F10" s="5" t="s">
        <v>1905</v>
      </c>
      <c r="G10" t="str">
        <f t="shared" si="0"/>
        <v>51101 : 1100000000</v>
      </c>
    </row>
    <row r="11" spans="1:7">
      <c r="A11" s="5" t="s">
        <v>1674</v>
      </c>
      <c r="B11" s="5" t="s">
        <v>2</v>
      </c>
      <c r="C11" s="5" t="s">
        <v>47</v>
      </c>
      <c r="D11" s="5" t="s">
        <v>1914</v>
      </c>
      <c r="E11" s="5" t="s">
        <v>1904</v>
      </c>
      <c r="F11" s="5" t="s">
        <v>1905</v>
      </c>
      <c r="G11" t="str">
        <f t="shared" si="0"/>
        <v>51101 : Minerals &amp; ores &amp; metals</v>
      </c>
    </row>
    <row r="12" spans="1:7">
      <c r="A12" s="5" t="s">
        <v>1674</v>
      </c>
      <c r="B12" s="5" t="s">
        <v>2</v>
      </c>
      <c r="C12" s="5" t="s">
        <v>16</v>
      </c>
      <c r="D12" s="5" t="s">
        <v>1915</v>
      </c>
      <c r="E12" s="5" t="s">
        <v>1904</v>
      </c>
      <c r="F12" s="5" t="s">
        <v>1905</v>
      </c>
      <c r="G12" t="str">
        <f t="shared" si="0"/>
        <v>51101 : Minerals ores metals - Haz</v>
      </c>
    </row>
    <row r="13" spans="1:7">
      <c r="A13" s="5" t="s">
        <v>1674</v>
      </c>
      <c r="B13" s="5" t="s">
        <v>2</v>
      </c>
      <c r="C13" s="5" t="s">
        <v>17</v>
      </c>
      <c r="D13" s="5" t="s">
        <v>1916</v>
      </c>
      <c r="E13" s="5" t="s">
        <v>1917</v>
      </c>
      <c r="F13" s="5" t="s">
        <v>1918</v>
      </c>
      <c r="G13" t="str">
        <f t="shared" si="0"/>
        <v>51004 : Non edible animal products</v>
      </c>
    </row>
    <row r="14" spans="1:7">
      <c r="A14" s="5" t="s">
        <v>1674</v>
      </c>
      <c r="B14" s="5" t="s">
        <v>2</v>
      </c>
      <c r="C14" s="5" t="s">
        <v>18</v>
      </c>
      <c r="D14" s="5" t="s">
        <v>1919</v>
      </c>
      <c r="E14" s="5" t="s">
        <v>1917</v>
      </c>
      <c r="F14" s="5" t="s">
        <v>1918</v>
      </c>
      <c r="G14" t="str">
        <f t="shared" si="0"/>
        <v>51004 : Non edible animal prods - Haz</v>
      </c>
    </row>
    <row r="15" spans="1:7">
      <c r="A15" s="5" t="s">
        <v>1674</v>
      </c>
      <c r="B15" s="5" t="s">
        <v>2</v>
      </c>
      <c r="C15" s="5" t="s">
        <v>19</v>
      </c>
      <c r="D15" s="5" t="s">
        <v>1920</v>
      </c>
      <c r="E15" s="5" t="s">
        <v>1917</v>
      </c>
      <c r="F15" s="5" t="s">
        <v>1918</v>
      </c>
      <c r="G15" t="str">
        <f t="shared" si="0"/>
        <v>51004 : Non edible animal pros - Grn</v>
      </c>
    </row>
    <row r="16" spans="1:7">
      <c r="A16" s="5" t="s">
        <v>1674</v>
      </c>
      <c r="B16" s="5" t="s">
        <v>2</v>
      </c>
      <c r="C16" s="5" t="s">
        <v>48</v>
      </c>
      <c r="D16" s="5" t="s">
        <v>1921</v>
      </c>
      <c r="E16" s="5" t="s">
        <v>1917</v>
      </c>
      <c r="F16" s="5" t="s">
        <v>1918</v>
      </c>
      <c r="G16" t="str">
        <f t="shared" si="0"/>
        <v>51004 : Scrap &amp; waste mtrls</v>
      </c>
    </row>
    <row r="17" spans="1:7">
      <c r="A17" s="5" t="s">
        <v>1674</v>
      </c>
      <c r="B17" s="5" t="s">
        <v>2</v>
      </c>
      <c r="C17" s="5" t="s">
        <v>49</v>
      </c>
      <c r="D17" s="5" t="s">
        <v>1922</v>
      </c>
      <c r="E17" s="5" t="s">
        <v>1917</v>
      </c>
      <c r="F17" s="5" t="s">
        <v>1918</v>
      </c>
      <c r="G17" t="str">
        <f t="shared" si="0"/>
        <v>51004 : Scrap &amp; waste mtrls - Haz</v>
      </c>
    </row>
    <row r="18" spans="1:7">
      <c r="A18" s="5" t="s">
        <v>1674</v>
      </c>
      <c r="B18" s="5" t="s">
        <v>2</v>
      </c>
      <c r="C18" s="5" t="s">
        <v>50</v>
      </c>
      <c r="D18" s="5" t="s">
        <v>1923</v>
      </c>
      <c r="E18" s="5" t="s">
        <v>1917</v>
      </c>
      <c r="F18" s="5" t="s">
        <v>1918</v>
      </c>
      <c r="G18" t="str">
        <f t="shared" si="0"/>
        <v>51004 : Scrap &amp; waste material - Grn</v>
      </c>
    </row>
    <row r="19" spans="1:7">
      <c r="A19" s="5" t="s">
        <v>1674</v>
      </c>
      <c r="B19" s="5" t="s">
        <v>2</v>
      </c>
      <c r="C19" s="5" t="s">
        <v>20</v>
      </c>
      <c r="D19" s="5" t="s">
        <v>1924</v>
      </c>
      <c r="E19" s="5" t="s">
        <v>1917</v>
      </c>
      <c r="F19" s="5" t="s">
        <v>1918</v>
      </c>
      <c r="G19" t="str">
        <f t="shared" si="0"/>
        <v>51004 : Fibers &amp; threads &amp; yarns</v>
      </c>
    </row>
    <row r="20" spans="1:7">
      <c r="A20" s="5" t="s">
        <v>1674</v>
      </c>
      <c r="B20" s="5" t="s">
        <v>2</v>
      </c>
      <c r="C20" s="5" t="s">
        <v>51</v>
      </c>
      <c r="D20" s="5" t="s">
        <v>1925</v>
      </c>
      <c r="E20" s="5" t="s">
        <v>1917</v>
      </c>
      <c r="F20" s="5" t="s">
        <v>1918</v>
      </c>
      <c r="G20" t="str">
        <f t="shared" si="0"/>
        <v>51004 : Fibers threads yarns - Haz</v>
      </c>
    </row>
    <row r="21" spans="1:7">
      <c r="A21" s="5" t="s">
        <v>1674</v>
      </c>
      <c r="B21" s="5" t="s">
        <v>2</v>
      </c>
      <c r="C21" s="5" t="s">
        <v>301</v>
      </c>
      <c r="D21" s="5" t="s">
        <v>1926</v>
      </c>
      <c r="E21" s="5" t="s">
        <v>1927</v>
      </c>
      <c r="F21" s="5" t="s">
        <v>1928</v>
      </c>
      <c r="G21" t="str">
        <f t="shared" si="0"/>
        <v>51105 : Fibers threads yarns - Grn</v>
      </c>
    </row>
    <row r="22" spans="1:7">
      <c r="A22" s="5" t="s">
        <v>1674</v>
      </c>
      <c r="B22" s="5" t="s">
        <v>2</v>
      </c>
      <c r="C22" s="5" t="s">
        <v>21</v>
      </c>
      <c r="D22" s="5" t="s">
        <v>1929</v>
      </c>
      <c r="E22" s="5" t="s">
        <v>1927</v>
      </c>
      <c r="F22" s="5" t="s">
        <v>1928</v>
      </c>
      <c r="G22" t="str">
        <f t="shared" si="0"/>
        <v>51105 : Fabrics &amp; leather mtrls</v>
      </c>
    </row>
    <row r="23" spans="1:7">
      <c r="A23" s="5" t="s">
        <v>1674</v>
      </c>
      <c r="B23" s="5" t="s">
        <v>2</v>
      </c>
      <c r="C23" s="5" t="s">
        <v>52</v>
      </c>
      <c r="D23" s="5" t="s">
        <v>1930</v>
      </c>
      <c r="E23" s="5" t="s">
        <v>1917</v>
      </c>
      <c r="F23" s="5" t="s">
        <v>1918</v>
      </c>
      <c r="G23" t="str">
        <f t="shared" si="0"/>
        <v>51004 : Alloys</v>
      </c>
    </row>
    <row r="24" spans="1:7">
      <c r="A24" s="5" t="s">
        <v>1674</v>
      </c>
      <c r="B24" s="5" t="s">
        <v>2</v>
      </c>
      <c r="C24" s="5" t="s">
        <v>22</v>
      </c>
      <c r="D24" s="5" t="s">
        <v>1931</v>
      </c>
      <c r="E24" s="5" t="s">
        <v>1917</v>
      </c>
      <c r="F24" s="5" t="s">
        <v>1918</v>
      </c>
      <c r="G24" t="str">
        <f t="shared" si="0"/>
        <v>51004 : Alloys - Haz</v>
      </c>
    </row>
    <row r="25" spans="1:7">
      <c r="A25" s="5" t="s">
        <v>1674</v>
      </c>
      <c r="B25" s="5" t="s">
        <v>2</v>
      </c>
      <c r="C25" s="5" t="s">
        <v>23</v>
      </c>
      <c r="D25" s="5" t="s">
        <v>1932</v>
      </c>
      <c r="E25" s="5" t="s">
        <v>1917</v>
      </c>
      <c r="F25" s="5" t="s">
        <v>1918</v>
      </c>
      <c r="G25" t="str">
        <f t="shared" si="0"/>
        <v>51004 : Metal oxide</v>
      </c>
    </row>
    <row r="26" spans="1:7">
      <c r="A26" s="5" t="s">
        <v>1674</v>
      </c>
      <c r="B26" s="5" t="s">
        <v>2</v>
      </c>
      <c r="C26" s="5" t="s">
        <v>53</v>
      </c>
      <c r="D26" s="5" t="s">
        <v>1933</v>
      </c>
      <c r="E26" s="5" t="s">
        <v>1917</v>
      </c>
      <c r="F26" s="5" t="s">
        <v>1918</v>
      </c>
      <c r="G26" t="str">
        <f t="shared" si="0"/>
        <v>51004 : Metal oxide - Haz</v>
      </c>
    </row>
    <row r="27" spans="1:7">
      <c r="A27" s="5" t="s">
        <v>1674</v>
      </c>
      <c r="B27" s="5" t="s">
        <v>2</v>
      </c>
      <c r="C27" s="5" t="s">
        <v>24</v>
      </c>
      <c r="D27" s="5" t="s">
        <v>1934</v>
      </c>
      <c r="E27" s="5" t="s">
        <v>1917</v>
      </c>
      <c r="F27" s="5" t="s">
        <v>1918</v>
      </c>
      <c r="G27" t="str">
        <f t="shared" si="0"/>
        <v>51004 : Metal waste &amp; scrap</v>
      </c>
    </row>
    <row r="28" spans="1:7">
      <c r="A28" s="5" t="s">
        <v>1674</v>
      </c>
      <c r="B28" s="5" t="s">
        <v>2</v>
      </c>
      <c r="C28" s="5" t="s">
        <v>54</v>
      </c>
      <c r="D28" s="5" t="s">
        <v>1935</v>
      </c>
      <c r="E28" s="5" t="s">
        <v>1917</v>
      </c>
      <c r="F28" s="5" t="s">
        <v>1918</v>
      </c>
      <c r="G28" t="str">
        <f t="shared" si="0"/>
        <v>51004 : Metal waste &amp; scrap - Haz</v>
      </c>
    </row>
    <row r="29" spans="1:7">
      <c r="A29" s="5" t="s">
        <v>1674</v>
      </c>
      <c r="B29" s="5" t="s">
        <v>2</v>
      </c>
      <c r="C29" s="5" t="s">
        <v>56</v>
      </c>
      <c r="D29" s="5" t="s">
        <v>56</v>
      </c>
      <c r="E29" s="5" t="s">
        <v>1917</v>
      </c>
      <c r="F29" s="5" t="s">
        <v>1918</v>
      </c>
      <c r="G29" t="str">
        <f t="shared" si="0"/>
        <v>51004 : 1200000000</v>
      </c>
    </row>
    <row r="30" spans="1:7">
      <c r="A30" s="5" t="s">
        <v>1674</v>
      </c>
      <c r="B30" s="5" t="s">
        <v>2</v>
      </c>
      <c r="C30" s="5" t="s">
        <v>57</v>
      </c>
      <c r="D30" s="5" t="s">
        <v>57</v>
      </c>
      <c r="E30" s="5" t="s">
        <v>1917</v>
      </c>
      <c r="F30" s="5" t="s">
        <v>1918</v>
      </c>
      <c r="G30" t="str">
        <f t="shared" si="0"/>
        <v>51004 : 1213000000</v>
      </c>
    </row>
    <row r="31" spans="1:7">
      <c r="A31" s="5" t="s">
        <v>1674</v>
      </c>
      <c r="B31" s="5" t="s">
        <v>2</v>
      </c>
      <c r="C31" s="5" t="s">
        <v>55</v>
      </c>
      <c r="D31" s="5" t="s">
        <v>1936</v>
      </c>
      <c r="E31" s="5" t="s">
        <v>1917</v>
      </c>
      <c r="F31" s="5" t="s">
        <v>1918</v>
      </c>
      <c r="G31" t="str">
        <f t="shared" si="0"/>
        <v>51004 : Explosive mtrls - Haz</v>
      </c>
    </row>
    <row r="32" spans="1:7">
      <c r="A32" s="5" t="s">
        <v>1674</v>
      </c>
      <c r="B32" s="5" t="s">
        <v>2</v>
      </c>
      <c r="C32" s="5" t="s">
        <v>25</v>
      </c>
      <c r="D32" s="5" t="s">
        <v>1937</v>
      </c>
      <c r="E32" s="5" t="s">
        <v>1904</v>
      </c>
      <c r="F32" s="5" t="s">
        <v>1905</v>
      </c>
      <c r="G32" t="str">
        <f t="shared" si="0"/>
        <v>51101 : Elements &amp; gases</v>
      </c>
    </row>
    <row r="33" spans="1:7">
      <c r="A33" s="5" t="s">
        <v>1674</v>
      </c>
      <c r="B33" s="5" t="s">
        <v>2</v>
      </c>
      <c r="C33" s="5" t="s">
        <v>58</v>
      </c>
      <c r="D33" s="5" t="s">
        <v>1938</v>
      </c>
      <c r="E33" s="5" t="s">
        <v>1904</v>
      </c>
      <c r="F33" s="5" t="s">
        <v>1905</v>
      </c>
      <c r="G33" t="str">
        <f t="shared" si="0"/>
        <v>51101 : Elements &amp; gases - Haz</v>
      </c>
    </row>
    <row r="34" spans="1:7">
      <c r="A34" s="5" t="s">
        <v>1674</v>
      </c>
      <c r="B34" s="5" t="s">
        <v>2</v>
      </c>
      <c r="C34" s="5" t="s">
        <v>59</v>
      </c>
      <c r="D34" s="5" t="s">
        <v>1939</v>
      </c>
      <c r="E34" s="5" t="s">
        <v>1904</v>
      </c>
      <c r="F34" s="5" t="s">
        <v>1905</v>
      </c>
      <c r="G34" t="str">
        <f t="shared" si="0"/>
        <v>51101 : Additives</v>
      </c>
    </row>
    <row r="35" spans="1:7">
      <c r="A35" s="5" t="s">
        <v>1674</v>
      </c>
      <c r="B35" s="5" t="s">
        <v>2</v>
      </c>
      <c r="C35" s="5" t="s">
        <v>26</v>
      </c>
      <c r="D35" s="5" t="s">
        <v>1940</v>
      </c>
      <c r="E35" s="5" t="s">
        <v>1904</v>
      </c>
      <c r="F35" s="5" t="s">
        <v>1905</v>
      </c>
      <c r="G35" t="str">
        <f t="shared" si="0"/>
        <v>51101 : Additives - Haz</v>
      </c>
    </row>
    <row r="36" spans="1:7">
      <c r="A36" s="5" t="s">
        <v>1674</v>
      </c>
      <c r="B36" s="5" t="s">
        <v>2</v>
      </c>
      <c r="C36" s="5" t="s">
        <v>27</v>
      </c>
      <c r="D36" s="5" t="s">
        <v>1941</v>
      </c>
      <c r="E36" s="5" t="s">
        <v>1904</v>
      </c>
      <c r="F36" s="5" t="s">
        <v>1905</v>
      </c>
      <c r="G36" t="str">
        <f t="shared" si="0"/>
        <v>51101 : Colorants</v>
      </c>
    </row>
    <row r="37" spans="1:7">
      <c r="A37" s="5" t="s">
        <v>1674</v>
      </c>
      <c r="B37" s="5" t="s">
        <v>2</v>
      </c>
      <c r="C37" s="5" t="s">
        <v>28</v>
      </c>
      <c r="D37" s="5" t="s">
        <v>1942</v>
      </c>
      <c r="E37" s="5" t="s">
        <v>1904</v>
      </c>
      <c r="F37" s="5" t="s">
        <v>1905</v>
      </c>
      <c r="G37" t="str">
        <f t="shared" si="0"/>
        <v>51101 : Colorants - Haz</v>
      </c>
    </row>
    <row r="38" spans="1:7">
      <c r="A38" s="5" t="s">
        <v>1674</v>
      </c>
      <c r="B38" s="5" t="s">
        <v>2</v>
      </c>
      <c r="C38" s="5" t="s">
        <v>29</v>
      </c>
      <c r="D38" s="5" t="s">
        <v>1943</v>
      </c>
      <c r="E38" s="5" t="s">
        <v>1904</v>
      </c>
      <c r="F38" s="5" t="s">
        <v>1905</v>
      </c>
      <c r="G38" t="str">
        <f t="shared" si="0"/>
        <v>51101 : Waxes &amp; oils</v>
      </c>
    </row>
    <row r="39" spans="1:7">
      <c r="A39" s="5" t="s">
        <v>1674</v>
      </c>
      <c r="B39" s="5" t="s">
        <v>2</v>
      </c>
      <c r="C39" s="5" t="s">
        <v>60</v>
      </c>
      <c r="D39" s="5" t="s">
        <v>1944</v>
      </c>
      <c r="E39" s="5" t="s">
        <v>1904</v>
      </c>
      <c r="F39" s="5" t="s">
        <v>1905</v>
      </c>
      <c r="G39" t="str">
        <f t="shared" si="0"/>
        <v>51101 : Waxes &amp; oils - Haz</v>
      </c>
    </row>
    <row r="40" spans="1:7">
      <c r="A40" s="5" t="s">
        <v>1674</v>
      </c>
      <c r="B40" s="5" t="s">
        <v>2</v>
      </c>
      <c r="C40" s="5" t="s">
        <v>61</v>
      </c>
      <c r="D40" s="5" t="s">
        <v>1945</v>
      </c>
      <c r="E40" s="5" t="s">
        <v>1904</v>
      </c>
      <c r="F40" s="5" t="s">
        <v>1905</v>
      </c>
      <c r="G40" t="str">
        <f t="shared" si="0"/>
        <v>51101 : Solvents</v>
      </c>
    </row>
    <row r="41" spans="1:7">
      <c r="A41" s="5" t="s">
        <v>1674</v>
      </c>
      <c r="B41" s="5" t="s">
        <v>2</v>
      </c>
      <c r="C41" s="5" t="s">
        <v>30</v>
      </c>
      <c r="D41" s="5" t="s">
        <v>1946</v>
      </c>
      <c r="E41" s="5" t="s">
        <v>1904</v>
      </c>
      <c r="F41" s="5" t="s">
        <v>1905</v>
      </c>
      <c r="G41" t="str">
        <f t="shared" si="0"/>
        <v>51101 : Solvents - Haz</v>
      </c>
    </row>
    <row r="42" spans="1:7">
      <c r="A42" s="5" t="s">
        <v>1674</v>
      </c>
      <c r="B42" s="5" t="s">
        <v>2</v>
      </c>
      <c r="C42" s="5" t="s">
        <v>62</v>
      </c>
      <c r="D42" s="5" t="s">
        <v>1947</v>
      </c>
      <c r="E42" s="5" t="s">
        <v>1904</v>
      </c>
      <c r="F42" s="5" t="s">
        <v>1905</v>
      </c>
      <c r="G42" t="str">
        <f t="shared" si="0"/>
        <v>51101 : Compounds &amp; mixtures</v>
      </c>
    </row>
    <row r="43" spans="1:7">
      <c r="A43" s="5" t="s">
        <v>1674</v>
      </c>
      <c r="B43" s="5" t="s">
        <v>2</v>
      </c>
      <c r="C43" s="5" t="s">
        <v>31</v>
      </c>
      <c r="D43" s="5" t="s">
        <v>1948</v>
      </c>
      <c r="E43" s="5" t="s">
        <v>1904</v>
      </c>
      <c r="F43" s="5" t="s">
        <v>1905</v>
      </c>
      <c r="G43" t="str">
        <f t="shared" si="0"/>
        <v>51101 : Compounds &amp; mixtures - Haz</v>
      </c>
    </row>
    <row r="44" spans="1:7">
      <c r="A44" s="5" t="s">
        <v>1674</v>
      </c>
      <c r="B44" s="5" t="s">
        <v>2</v>
      </c>
      <c r="C44" s="5" t="s">
        <v>33</v>
      </c>
      <c r="D44" s="5" t="s">
        <v>33</v>
      </c>
      <c r="E44" s="5" t="s">
        <v>1904</v>
      </c>
      <c r="F44" s="5" t="s">
        <v>1905</v>
      </c>
      <c r="G44" t="str">
        <f t="shared" si="0"/>
        <v>51101 : 1300000000</v>
      </c>
    </row>
    <row r="45" spans="1:7">
      <c r="A45" s="5" t="s">
        <v>1674</v>
      </c>
      <c r="B45" s="5" t="s">
        <v>2</v>
      </c>
      <c r="C45" s="5" t="s">
        <v>32</v>
      </c>
      <c r="D45" s="5" t="s">
        <v>1949</v>
      </c>
      <c r="E45" s="5" t="s">
        <v>1904</v>
      </c>
      <c r="F45" s="5" t="s">
        <v>1905</v>
      </c>
      <c r="G45" t="str">
        <f t="shared" si="0"/>
        <v>51101 : Rubber &amp; elastomers</v>
      </c>
    </row>
    <row r="46" spans="1:7">
      <c r="A46" s="5" t="s">
        <v>1674</v>
      </c>
      <c r="B46" s="5" t="s">
        <v>2</v>
      </c>
      <c r="C46" s="5" t="s">
        <v>63</v>
      </c>
      <c r="D46" s="5" t="s">
        <v>1950</v>
      </c>
      <c r="E46" s="5" t="s">
        <v>1904</v>
      </c>
      <c r="F46" s="5" t="s">
        <v>1905</v>
      </c>
      <c r="G46" t="str">
        <f t="shared" si="0"/>
        <v>51101 : Rubber &amp; elastomers - Haz</v>
      </c>
    </row>
    <row r="47" spans="1:7">
      <c r="A47" s="5" t="s">
        <v>1674</v>
      </c>
      <c r="B47" s="5" t="s">
        <v>2</v>
      </c>
      <c r="C47" s="5" t="s">
        <v>259</v>
      </c>
      <c r="D47" s="5" t="s">
        <v>1951</v>
      </c>
      <c r="E47" s="5" t="s">
        <v>1904</v>
      </c>
      <c r="F47" s="5" t="s">
        <v>1905</v>
      </c>
      <c r="G47" t="str">
        <f t="shared" si="0"/>
        <v>51101 : Resins rosins &amp; derived mtrl</v>
      </c>
    </row>
    <row r="48" spans="1:7">
      <c r="A48" s="5" t="s">
        <v>1674</v>
      </c>
      <c r="B48" s="5" t="s">
        <v>2</v>
      </c>
      <c r="C48" s="5" t="s">
        <v>303</v>
      </c>
      <c r="D48" s="5" t="s">
        <v>1952</v>
      </c>
      <c r="E48" s="5" t="s">
        <v>1904</v>
      </c>
      <c r="F48" s="5" t="s">
        <v>1905</v>
      </c>
      <c r="G48" t="str">
        <f t="shared" si="0"/>
        <v>51101 : Resins rosins &amp; derived - Haz</v>
      </c>
    </row>
    <row r="49" spans="1:7">
      <c r="A49" s="5" t="s">
        <v>1674</v>
      </c>
      <c r="B49" s="5" t="s">
        <v>2</v>
      </c>
      <c r="C49" s="5" t="s">
        <v>35</v>
      </c>
      <c r="D49" s="5" t="s">
        <v>35</v>
      </c>
      <c r="E49" s="5" t="s">
        <v>1953</v>
      </c>
      <c r="F49" s="5" t="s">
        <v>1918</v>
      </c>
      <c r="G49" t="str">
        <f t="shared" si="0"/>
        <v>51002 : 1400000000</v>
      </c>
    </row>
    <row r="50" spans="1:7">
      <c r="A50" s="5" t="s">
        <v>1674</v>
      </c>
      <c r="B50" s="5" t="s">
        <v>2</v>
      </c>
      <c r="C50" s="5" t="s">
        <v>34</v>
      </c>
      <c r="D50" s="5" t="s">
        <v>1954</v>
      </c>
      <c r="E50" s="5" t="s">
        <v>1953</v>
      </c>
      <c r="F50" s="5" t="s">
        <v>1918</v>
      </c>
      <c r="G50" t="str">
        <f t="shared" si="0"/>
        <v>51002 : Paper mtrls</v>
      </c>
    </row>
    <row r="51" spans="1:7">
      <c r="A51" s="5" t="s">
        <v>1674</v>
      </c>
      <c r="B51" s="5" t="s">
        <v>2</v>
      </c>
      <c r="C51" s="5" t="s">
        <v>36</v>
      </c>
      <c r="D51" s="5" t="s">
        <v>1955</v>
      </c>
      <c r="E51" s="5" t="s">
        <v>1953</v>
      </c>
      <c r="F51" s="5" t="s">
        <v>1918</v>
      </c>
      <c r="G51" t="str">
        <f t="shared" si="0"/>
        <v>51002 : Paper mtrls - Grn</v>
      </c>
    </row>
    <row r="52" spans="1:7">
      <c r="A52" s="5" t="s">
        <v>1674</v>
      </c>
      <c r="B52" s="5" t="s">
        <v>2</v>
      </c>
      <c r="C52" s="5" t="s">
        <v>37</v>
      </c>
      <c r="D52" s="5" t="s">
        <v>1956</v>
      </c>
      <c r="E52" s="5" t="s">
        <v>1953</v>
      </c>
      <c r="F52" s="5" t="s">
        <v>1918</v>
      </c>
      <c r="G52" t="str">
        <f t="shared" si="0"/>
        <v>51002 : Paper products</v>
      </c>
    </row>
    <row r="53" spans="1:7">
      <c r="A53" s="5" t="s">
        <v>1674</v>
      </c>
      <c r="B53" s="5" t="s">
        <v>2</v>
      </c>
      <c r="C53" s="5" t="s">
        <v>38</v>
      </c>
      <c r="D53" s="5" t="s">
        <v>1957</v>
      </c>
      <c r="E53" s="5" t="s">
        <v>1953</v>
      </c>
      <c r="F53" s="5" t="s">
        <v>1918</v>
      </c>
      <c r="G53" t="str">
        <f t="shared" si="0"/>
        <v>51002 : Paper products - Grn</v>
      </c>
    </row>
    <row r="54" spans="1:7">
      <c r="A54" s="5" t="s">
        <v>1674</v>
      </c>
      <c r="B54" s="5" t="s">
        <v>2</v>
      </c>
      <c r="C54" s="5" t="s">
        <v>64</v>
      </c>
      <c r="D54" s="5" t="s">
        <v>1958</v>
      </c>
      <c r="E54" s="5" t="s">
        <v>1953</v>
      </c>
      <c r="F54" s="5" t="s">
        <v>1918</v>
      </c>
      <c r="G54" t="str">
        <f t="shared" si="0"/>
        <v>51002 : indstrl use papers</v>
      </c>
    </row>
    <row r="55" spans="1:7">
      <c r="A55" s="5" t="s">
        <v>1674</v>
      </c>
      <c r="B55" s="5" t="s">
        <v>2</v>
      </c>
      <c r="C55" s="5" t="s">
        <v>65</v>
      </c>
      <c r="D55" s="5" t="s">
        <v>1959</v>
      </c>
      <c r="E55" s="5" t="s">
        <v>1953</v>
      </c>
      <c r="F55" s="5" t="s">
        <v>1918</v>
      </c>
      <c r="G55" t="str">
        <f t="shared" si="0"/>
        <v>51002 : indstrl use papers - Grn</v>
      </c>
    </row>
    <row r="56" spans="1:7">
      <c r="A56" s="5" t="s">
        <v>1674</v>
      </c>
      <c r="B56" s="5" t="s">
        <v>2</v>
      </c>
      <c r="C56" s="5" t="s">
        <v>39</v>
      </c>
      <c r="D56" s="5" t="s">
        <v>1960</v>
      </c>
      <c r="E56" s="5" t="s">
        <v>1917</v>
      </c>
      <c r="F56" s="5" t="s">
        <v>1918</v>
      </c>
      <c r="G56" t="str">
        <f t="shared" si="0"/>
        <v>51004 : Gaseous fuels &amp; additives</v>
      </c>
    </row>
    <row r="57" spans="1:7">
      <c r="A57" s="5" t="s">
        <v>1674</v>
      </c>
      <c r="B57" s="5" t="s">
        <v>2</v>
      </c>
      <c r="C57" s="5" t="s">
        <v>66</v>
      </c>
      <c r="D57" s="5" t="s">
        <v>1961</v>
      </c>
      <c r="E57" s="5" t="s">
        <v>1917</v>
      </c>
      <c r="F57" s="5" t="s">
        <v>1918</v>
      </c>
      <c r="G57" t="str">
        <f t="shared" si="0"/>
        <v>51004 : Gaseous fuels additives - Haz</v>
      </c>
    </row>
    <row r="58" spans="1:7">
      <c r="A58" s="5" t="s">
        <v>1674</v>
      </c>
      <c r="B58" s="5" t="s">
        <v>2</v>
      </c>
      <c r="C58" s="5" t="s">
        <v>40</v>
      </c>
      <c r="D58" s="5" t="s">
        <v>1962</v>
      </c>
      <c r="E58" s="5" t="s">
        <v>1917</v>
      </c>
      <c r="F58" s="5" t="s">
        <v>1918</v>
      </c>
      <c r="G58" t="str">
        <f t="shared" si="0"/>
        <v>51004 : Gaseous fuels additives - Grn</v>
      </c>
    </row>
    <row r="59" spans="1:7">
      <c r="A59" s="5" t="s">
        <v>1674</v>
      </c>
      <c r="B59" s="5" t="s">
        <v>2</v>
      </c>
      <c r="C59" s="5" t="s">
        <v>3</v>
      </c>
      <c r="D59" s="5" t="s">
        <v>1963</v>
      </c>
      <c r="E59" s="5" t="s">
        <v>1911</v>
      </c>
      <c r="F59" s="5" t="s">
        <v>1912</v>
      </c>
      <c r="G59" t="str">
        <f t="shared" si="0"/>
        <v>51006 : Lubricants, oil, grease</v>
      </c>
    </row>
    <row r="60" spans="1:7">
      <c r="A60" s="5" t="s">
        <v>1674</v>
      </c>
      <c r="B60" s="5" t="s">
        <v>2</v>
      </c>
      <c r="C60" s="5" t="s">
        <v>4</v>
      </c>
      <c r="D60" s="5" t="s">
        <v>1964</v>
      </c>
      <c r="E60" s="5" t="s">
        <v>1911</v>
      </c>
      <c r="F60" s="5" t="s">
        <v>1912</v>
      </c>
      <c r="G60" t="str">
        <f t="shared" si="0"/>
        <v>51006 : Lubricants, oil, grease - Haz</v>
      </c>
    </row>
    <row r="61" spans="1:7">
      <c r="A61" s="5" t="s">
        <v>1674</v>
      </c>
      <c r="B61" s="5" t="s">
        <v>2</v>
      </c>
      <c r="C61" s="5" t="s">
        <v>41</v>
      </c>
      <c r="D61" s="5" t="s">
        <v>1965</v>
      </c>
      <c r="E61" s="5" t="s">
        <v>1911</v>
      </c>
      <c r="F61" s="5" t="s">
        <v>1912</v>
      </c>
      <c r="G61" t="str">
        <f t="shared" si="0"/>
        <v>51006 : Lubricants, oil, grease - Grn</v>
      </c>
    </row>
    <row r="62" spans="1:7">
      <c r="A62" s="5" t="s">
        <v>1674</v>
      </c>
      <c r="B62" s="5" t="s">
        <v>2</v>
      </c>
      <c r="C62" s="5" t="s">
        <v>5</v>
      </c>
      <c r="D62" s="5" t="s">
        <v>1966</v>
      </c>
      <c r="E62" s="5" t="s">
        <v>1904</v>
      </c>
      <c r="F62" s="5" t="s">
        <v>1905</v>
      </c>
      <c r="G62" t="str">
        <f t="shared" si="0"/>
        <v>51101 : Fuel, nuclear reactors</v>
      </c>
    </row>
    <row r="63" spans="1:7">
      <c r="A63" s="5" t="s">
        <v>1674</v>
      </c>
      <c r="B63" s="5" t="s">
        <v>2</v>
      </c>
      <c r="C63" s="5" t="s">
        <v>6</v>
      </c>
      <c r="D63" s="5" t="s">
        <v>1967</v>
      </c>
      <c r="E63" s="5" t="s">
        <v>1904</v>
      </c>
      <c r="F63" s="5" t="s">
        <v>1905</v>
      </c>
      <c r="G63" t="str">
        <f t="shared" si="0"/>
        <v>51101 : Fuel, nuclear reactors - Haz</v>
      </c>
    </row>
    <row r="64" spans="1:7">
      <c r="A64" s="5" t="s">
        <v>1674</v>
      </c>
      <c r="B64" s="5" t="s">
        <v>2</v>
      </c>
      <c r="C64" s="5" t="s">
        <v>7</v>
      </c>
      <c r="D64" s="5" t="s">
        <v>1968</v>
      </c>
      <c r="E64" s="5" t="s">
        <v>1911</v>
      </c>
      <c r="F64" s="5" t="s">
        <v>1912</v>
      </c>
      <c r="G64" t="str">
        <f t="shared" si="0"/>
        <v>51006 : Containers &amp; storage</v>
      </c>
    </row>
    <row r="65" spans="1:7">
      <c r="A65" s="5" t="s">
        <v>1674</v>
      </c>
      <c r="B65" s="5" t="s">
        <v>2</v>
      </c>
      <c r="C65" s="5" t="s">
        <v>8</v>
      </c>
      <c r="D65" s="5" t="s">
        <v>1969</v>
      </c>
      <c r="E65" s="5" t="s">
        <v>1917</v>
      </c>
      <c r="F65" s="5" t="s">
        <v>1918</v>
      </c>
      <c r="G65" t="str">
        <f t="shared" si="0"/>
        <v>51004 : Packaging mtrls</v>
      </c>
    </row>
    <row r="66" spans="1:7">
      <c r="A66" s="5" t="s">
        <v>1674</v>
      </c>
      <c r="B66" s="5" t="s">
        <v>2</v>
      </c>
      <c r="C66" s="5" t="s">
        <v>299</v>
      </c>
      <c r="D66" s="5" t="s">
        <v>1970</v>
      </c>
      <c r="E66" s="5" t="s">
        <v>1917</v>
      </c>
      <c r="F66" s="5" t="s">
        <v>1918</v>
      </c>
      <c r="G66" t="str">
        <f t="shared" si="0"/>
        <v>51004 : Packaging mtrls - Haz</v>
      </c>
    </row>
    <row r="67" spans="1:7">
      <c r="A67" s="5" t="s">
        <v>1674</v>
      </c>
      <c r="B67" s="5" t="s">
        <v>2</v>
      </c>
      <c r="C67" s="5" t="s">
        <v>9</v>
      </c>
      <c r="D67" s="5" t="s">
        <v>1971</v>
      </c>
      <c r="E67" s="5" t="s">
        <v>1917</v>
      </c>
      <c r="F67" s="5" t="s">
        <v>1918</v>
      </c>
      <c r="G67" t="str">
        <f t="shared" si="0"/>
        <v>51004 : Packaging mtrls - Grn</v>
      </c>
    </row>
    <row r="68" spans="1:7">
      <c r="A68" s="5" t="s">
        <v>1674</v>
      </c>
      <c r="B68" s="5" t="s">
        <v>2</v>
      </c>
      <c r="C68" s="5" t="s">
        <v>10</v>
      </c>
      <c r="D68" s="5" t="s">
        <v>1972</v>
      </c>
      <c r="E68" s="5" t="s">
        <v>1917</v>
      </c>
      <c r="F68" s="5" t="s">
        <v>1918</v>
      </c>
      <c r="G68" t="str">
        <f t="shared" ref="G68:G131" si="1">CONCATENATE(E68, " : ", D68)</f>
        <v>51004 : Packing supplies</v>
      </c>
    </row>
    <row r="69" spans="1:7">
      <c r="A69" s="5" t="s">
        <v>1674</v>
      </c>
      <c r="B69" s="5" t="s">
        <v>2</v>
      </c>
      <c r="C69" s="5" t="s">
        <v>11</v>
      </c>
      <c r="D69" s="5" t="s">
        <v>1973</v>
      </c>
      <c r="E69" s="5" t="s">
        <v>1917</v>
      </c>
      <c r="F69" s="5" t="s">
        <v>1918</v>
      </c>
      <c r="G69" t="str">
        <f t="shared" si="1"/>
        <v>51004 : Packing supplies - Grn</v>
      </c>
    </row>
    <row r="70" spans="1:7">
      <c r="A70" s="5" t="s">
        <v>1674</v>
      </c>
      <c r="B70" s="5" t="s">
        <v>2</v>
      </c>
      <c r="C70" s="5" t="s">
        <v>133</v>
      </c>
      <c r="D70" s="5" t="s">
        <v>1974</v>
      </c>
      <c r="E70" s="5" t="s">
        <v>1911</v>
      </c>
      <c r="F70" s="5" t="s">
        <v>1912</v>
      </c>
      <c r="G70" t="str">
        <f t="shared" si="1"/>
        <v>51006 : Electrical wire &amp; cable</v>
      </c>
    </row>
    <row r="71" spans="1:7">
      <c r="A71" s="5" t="s">
        <v>1674</v>
      </c>
      <c r="B71" s="5" t="s">
        <v>2</v>
      </c>
      <c r="C71" s="5" t="s">
        <v>134</v>
      </c>
      <c r="D71" s="5" t="s">
        <v>1975</v>
      </c>
      <c r="E71" s="5" t="s">
        <v>1911</v>
      </c>
      <c r="F71" s="5" t="s">
        <v>1912</v>
      </c>
      <c r="G71" t="str">
        <f t="shared" si="1"/>
        <v>51006 : Electrical wire &amp; cable - Haz</v>
      </c>
    </row>
    <row r="72" spans="1:7">
      <c r="A72" s="5" t="s">
        <v>1674</v>
      </c>
      <c r="B72" s="5" t="s">
        <v>2</v>
      </c>
      <c r="C72" s="5" t="s">
        <v>135</v>
      </c>
      <c r="D72" s="5" t="s">
        <v>1976</v>
      </c>
      <c r="E72" s="5" t="s">
        <v>1911</v>
      </c>
      <c r="F72" s="5" t="s">
        <v>1912</v>
      </c>
      <c r="G72" t="str">
        <f t="shared" si="1"/>
        <v>51006 : Electrical wire &amp; cable -Grn</v>
      </c>
    </row>
    <row r="73" spans="1:7">
      <c r="A73" s="5" t="s">
        <v>1674</v>
      </c>
      <c r="B73" s="5" t="s">
        <v>2</v>
      </c>
      <c r="C73" s="5" t="s">
        <v>137</v>
      </c>
      <c r="D73" s="5" t="s">
        <v>137</v>
      </c>
      <c r="E73" s="5" t="s">
        <v>1911</v>
      </c>
      <c r="F73" s="5" t="s">
        <v>1912</v>
      </c>
      <c r="G73" t="str">
        <f t="shared" si="1"/>
        <v>51006 : 2700000000</v>
      </c>
    </row>
    <row r="74" spans="1:7">
      <c r="A74" s="5" t="s">
        <v>1674</v>
      </c>
      <c r="B74" s="5" t="s">
        <v>2</v>
      </c>
      <c r="C74" s="5" t="s">
        <v>136</v>
      </c>
      <c r="D74" s="5" t="s">
        <v>1977</v>
      </c>
      <c r="E74" s="5" t="s">
        <v>1911</v>
      </c>
      <c r="F74" s="5" t="s">
        <v>1912</v>
      </c>
      <c r="G74" t="str">
        <f t="shared" si="1"/>
        <v>51006 : Hand tools</v>
      </c>
    </row>
    <row r="75" spans="1:7">
      <c r="A75" s="5" t="s">
        <v>1674</v>
      </c>
      <c r="B75" s="5" t="s">
        <v>2</v>
      </c>
      <c r="C75" s="5" t="s">
        <v>139</v>
      </c>
      <c r="D75" s="5" t="s">
        <v>139</v>
      </c>
      <c r="E75" s="5" t="s">
        <v>1911</v>
      </c>
      <c r="F75" s="5" t="s">
        <v>1912</v>
      </c>
      <c r="G75" t="str">
        <f t="shared" si="1"/>
        <v>51006 : 3000000000</v>
      </c>
    </row>
    <row r="76" spans="1:7">
      <c r="A76" s="5" t="s">
        <v>1674</v>
      </c>
      <c r="B76" s="5" t="s">
        <v>2</v>
      </c>
      <c r="C76" s="5" t="s">
        <v>138</v>
      </c>
      <c r="D76" s="5" t="s">
        <v>1978</v>
      </c>
      <c r="E76" s="5" t="s">
        <v>1911</v>
      </c>
      <c r="F76" s="5" t="s">
        <v>1912</v>
      </c>
      <c r="G76" t="str">
        <f t="shared" si="1"/>
        <v>51006 : Structural mtrls</v>
      </c>
    </row>
    <row r="77" spans="1:7">
      <c r="A77" s="5" t="s">
        <v>1674</v>
      </c>
      <c r="B77" s="5" t="s">
        <v>2</v>
      </c>
      <c r="C77" s="5" t="s">
        <v>140</v>
      </c>
      <c r="D77" s="5" t="s">
        <v>1979</v>
      </c>
      <c r="E77" s="5" t="s">
        <v>1911</v>
      </c>
      <c r="F77" s="5" t="s">
        <v>1912</v>
      </c>
      <c r="G77" t="str">
        <f t="shared" si="1"/>
        <v>51006 : Concrete &amp; cement &amp; plaster</v>
      </c>
    </row>
    <row r="78" spans="1:7">
      <c r="A78" s="5" t="s">
        <v>1674</v>
      </c>
      <c r="B78" s="5" t="s">
        <v>2</v>
      </c>
      <c r="C78" s="5" t="s">
        <v>141</v>
      </c>
      <c r="D78" s="5" t="s">
        <v>1980</v>
      </c>
      <c r="E78" s="5" t="s">
        <v>1911</v>
      </c>
      <c r="F78" s="5" t="s">
        <v>1912</v>
      </c>
      <c r="G78" t="str">
        <f t="shared" si="1"/>
        <v>51006 : Concrete &amp; cement - Haz</v>
      </c>
    </row>
    <row r="79" spans="1:7">
      <c r="A79" s="5" t="s">
        <v>1674</v>
      </c>
      <c r="B79" s="5" t="s">
        <v>2</v>
      </c>
      <c r="C79" s="5" t="s">
        <v>142</v>
      </c>
      <c r="D79" s="5" t="s">
        <v>1981</v>
      </c>
      <c r="E79" s="5" t="s">
        <v>1911</v>
      </c>
      <c r="F79" s="5" t="s">
        <v>1912</v>
      </c>
      <c r="G79" t="str">
        <f t="shared" si="1"/>
        <v>51006 : Concrete &amp; cement - Grn</v>
      </c>
    </row>
    <row r="80" spans="1:7">
      <c r="A80" s="5" t="s">
        <v>1674</v>
      </c>
      <c r="B80" s="5" t="s">
        <v>2</v>
      </c>
      <c r="C80" s="5" t="s">
        <v>143</v>
      </c>
      <c r="D80" s="5" t="s">
        <v>1982</v>
      </c>
      <c r="E80" s="5" t="s">
        <v>1911</v>
      </c>
      <c r="F80" s="5" t="s">
        <v>1912</v>
      </c>
      <c r="G80" t="str">
        <f t="shared" si="1"/>
        <v>51006 : Structural bldg products</v>
      </c>
    </row>
    <row r="81" spans="1:7">
      <c r="A81" s="5" t="s">
        <v>1674</v>
      </c>
      <c r="B81" s="5" t="s">
        <v>2</v>
      </c>
      <c r="C81" s="5" t="s">
        <v>144</v>
      </c>
      <c r="D81" s="5" t="s">
        <v>1983</v>
      </c>
      <c r="E81" s="5" t="s">
        <v>1911</v>
      </c>
      <c r="F81" s="5" t="s">
        <v>1912</v>
      </c>
      <c r="G81" t="str">
        <f t="shared" si="1"/>
        <v>51006 : Insulation</v>
      </c>
    </row>
    <row r="82" spans="1:7">
      <c r="A82" s="5" t="s">
        <v>1674</v>
      </c>
      <c r="B82" s="5" t="s">
        <v>2</v>
      </c>
      <c r="C82" s="5" t="s">
        <v>145</v>
      </c>
      <c r="D82" s="5" t="s">
        <v>1984</v>
      </c>
      <c r="E82" s="5" t="s">
        <v>1911</v>
      </c>
      <c r="F82" s="5" t="s">
        <v>1912</v>
      </c>
      <c r="G82" t="str">
        <f t="shared" si="1"/>
        <v>51006 : Insulation - Haz</v>
      </c>
    </row>
    <row r="83" spans="1:7">
      <c r="A83" s="5" t="s">
        <v>1674</v>
      </c>
      <c r="B83" s="5" t="s">
        <v>2</v>
      </c>
      <c r="C83" s="5" t="s">
        <v>146</v>
      </c>
      <c r="D83" s="5" t="s">
        <v>1985</v>
      </c>
      <c r="E83" s="5" t="s">
        <v>1911</v>
      </c>
      <c r="F83" s="5" t="s">
        <v>1912</v>
      </c>
      <c r="G83" t="str">
        <f t="shared" si="1"/>
        <v>51006 : Exterior finishing mtrls</v>
      </c>
    </row>
    <row r="84" spans="1:7">
      <c r="A84" s="5" t="s">
        <v>1674</v>
      </c>
      <c r="B84" s="5" t="s">
        <v>2</v>
      </c>
      <c r="C84" s="5" t="s">
        <v>147</v>
      </c>
      <c r="D84" s="5" t="s">
        <v>1986</v>
      </c>
      <c r="E84" s="5" t="s">
        <v>1911</v>
      </c>
      <c r="F84" s="5" t="s">
        <v>1912</v>
      </c>
      <c r="G84" t="str">
        <f t="shared" si="1"/>
        <v>51006 : Exterior finishing mtrls - Haz</v>
      </c>
    </row>
    <row r="85" spans="1:7">
      <c r="A85" s="5" t="s">
        <v>1674</v>
      </c>
      <c r="B85" s="5" t="s">
        <v>2</v>
      </c>
      <c r="C85" s="5" t="s">
        <v>148</v>
      </c>
      <c r="D85" s="5" t="s">
        <v>1987</v>
      </c>
      <c r="E85" s="5" t="s">
        <v>1911</v>
      </c>
      <c r="F85" s="5" t="s">
        <v>1912</v>
      </c>
      <c r="G85" t="str">
        <f t="shared" si="1"/>
        <v>51006 : Interior finishing mtrls</v>
      </c>
    </row>
    <row r="86" spans="1:7">
      <c r="A86" s="5" t="s">
        <v>1674</v>
      </c>
      <c r="B86" s="5" t="s">
        <v>2</v>
      </c>
      <c r="C86" s="5" t="s">
        <v>149</v>
      </c>
      <c r="D86" s="5" t="s">
        <v>1988</v>
      </c>
      <c r="E86" s="5" t="s">
        <v>1911</v>
      </c>
      <c r="F86" s="5" t="s">
        <v>1912</v>
      </c>
      <c r="G86" t="str">
        <f t="shared" si="1"/>
        <v>51006 : Interior finishing mtrls - Haz</v>
      </c>
    </row>
    <row r="87" spans="1:7">
      <c r="A87" s="5" t="s">
        <v>1674</v>
      </c>
      <c r="B87" s="5" t="s">
        <v>2</v>
      </c>
      <c r="C87" s="5" t="s">
        <v>150</v>
      </c>
      <c r="D87" s="5" t="s">
        <v>1989</v>
      </c>
      <c r="E87" s="5" t="s">
        <v>1911</v>
      </c>
      <c r="F87" s="5" t="s">
        <v>1912</v>
      </c>
      <c r="G87" t="str">
        <f t="shared" si="1"/>
        <v>51006 : Doors &amp; windows &amp; glass</v>
      </c>
    </row>
    <row r="88" spans="1:7">
      <c r="A88" s="5" t="s">
        <v>1674</v>
      </c>
      <c r="B88" s="5" t="s">
        <v>2</v>
      </c>
      <c r="C88" s="5" t="s">
        <v>151</v>
      </c>
      <c r="D88" s="5" t="s">
        <v>1990</v>
      </c>
      <c r="E88" s="5" t="s">
        <v>1911</v>
      </c>
      <c r="F88" s="5" t="s">
        <v>1912</v>
      </c>
      <c r="G88" t="str">
        <f t="shared" si="1"/>
        <v>51006 : Plumbing fixtures</v>
      </c>
    </row>
    <row r="89" spans="1:7">
      <c r="A89" s="5" t="s">
        <v>1674</v>
      </c>
      <c r="B89" s="5" t="s">
        <v>2</v>
      </c>
      <c r="C89" s="5" t="s">
        <v>152</v>
      </c>
      <c r="D89" s="5" t="s">
        <v>1991</v>
      </c>
      <c r="E89" s="5" t="s">
        <v>1911</v>
      </c>
      <c r="F89" s="5" t="s">
        <v>1912</v>
      </c>
      <c r="G89" t="str">
        <f t="shared" si="1"/>
        <v>51006 : Constrctn &amp; mntnc equip</v>
      </c>
    </row>
    <row r="90" spans="1:7">
      <c r="A90" s="5" t="s">
        <v>1674</v>
      </c>
      <c r="B90" s="5" t="s">
        <v>2</v>
      </c>
      <c r="C90" s="5" t="s">
        <v>153</v>
      </c>
      <c r="D90" s="5" t="s">
        <v>1992</v>
      </c>
      <c r="E90" s="5" t="s">
        <v>1911</v>
      </c>
      <c r="F90" s="5" t="s">
        <v>1912</v>
      </c>
      <c r="G90" t="str">
        <f t="shared" si="1"/>
        <v>51006 : Prefabricated structures</v>
      </c>
    </row>
    <row r="91" spans="1:7">
      <c r="A91" s="5" t="s">
        <v>1674</v>
      </c>
      <c r="B91" s="5" t="s">
        <v>2</v>
      </c>
      <c r="C91" s="5" t="s">
        <v>155</v>
      </c>
      <c r="D91" s="5" t="s">
        <v>155</v>
      </c>
      <c r="E91" s="5" t="s">
        <v>1911</v>
      </c>
      <c r="F91" s="5" t="s">
        <v>1912</v>
      </c>
      <c r="G91" t="str">
        <f t="shared" si="1"/>
        <v>51006 : 3100000000</v>
      </c>
    </row>
    <row r="92" spans="1:7">
      <c r="A92" s="5" t="s">
        <v>1674</v>
      </c>
      <c r="B92" s="5" t="s">
        <v>2</v>
      </c>
      <c r="C92" s="5" t="s">
        <v>154</v>
      </c>
      <c r="D92" s="5" t="s">
        <v>1993</v>
      </c>
      <c r="E92" s="5" t="s">
        <v>1911</v>
      </c>
      <c r="F92" s="5" t="s">
        <v>1912</v>
      </c>
      <c r="G92" t="str">
        <f t="shared" si="1"/>
        <v>51006 : Castings</v>
      </c>
    </row>
    <row r="93" spans="1:7">
      <c r="A93" s="5" t="s">
        <v>1674</v>
      </c>
      <c r="B93" s="5" t="s">
        <v>2</v>
      </c>
      <c r="C93" s="5" t="s">
        <v>156</v>
      </c>
      <c r="D93" s="5" t="s">
        <v>1994</v>
      </c>
      <c r="E93" s="5" t="s">
        <v>1911</v>
      </c>
      <c r="F93" s="5" t="s">
        <v>1912</v>
      </c>
      <c r="G93" t="str">
        <f t="shared" si="1"/>
        <v>51006 : Extrusions</v>
      </c>
    </row>
    <row r="94" spans="1:7">
      <c r="A94" s="5" t="s">
        <v>1674</v>
      </c>
      <c r="B94" s="5" t="s">
        <v>2</v>
      </c>
      <c r="C94" s="5" t="s">
        <v>157</v>
      </c>
      <c r="D94" s="5" t="s">
        <v>1995</v>
      </c>
      <c r="E94" s="5" t="s">
        <v>1911</v>
      </c>
      <c r="F94" s="5" t="s">
        <v>1912</v>
      </c>
      <c r="G94" t="str">
        <f t="shared" si="1"/>
        <v>51006 : Machined castings</v>
      </c>
    </row>
    <row r="95" spans="1:7">
      <c r="A95" s="5" t="s">
        <v>1674</v>
      </c>
      <c r="B95" s="5" t="s">
        <v>2</v>
      </c>
      <c r="C95" s="5" t="s">
        <v>158</v>
      </c>
      <c r="D95" s="5" t="s">
        <v>1996</v>
      </c>
      <c r="E95" s="5" t="s">
        <v>1911</v>
      </c>
      <c r="F95" s="5" t="s">
        <v>1912</v>
      </c>
      <c r="G95" t="str">
        <f t="shared" si="1"/>
        <v>51006 : Forgings</v>
      </c>
    </row>
    <row r="96" spans="1:7">
      <c r="A96" s="5" t="s">
        <v>1674</v>
      </c>
      <c r="B96" s="5" t="s">
        <v>2</v>
      </c>
      <c r="C96" s="5" t="s">
        <v>159</v>
      </c>
      <c r="D96" s="5" t="s">
        <v>1997</v>
      </c>
      <c r="E96" s="5" t="s">
        <v>1911</v>
      </c>
      <c r="F96" s="5" t="s">
        <v>1912</v>
      </c>
      <c r="G96" t="str">
        <f t="shared" si="1"/>
        <v>51006 : Moldings</v>
      </c>
    </row>
    <row r="97" spans="1:7">
      <c r="A97" s="5" t="s">
        <v>1674</v>
      </c>
      <c r="B97" s="5" t="s">
        <v>2</v>
      </c>
      <c r="C97" s="5" t="s">
        <v>160</v>
      </c>
      <c r="D97" s="5" t="s">
        <v>1998</v>
      </c>
      <c r="E97" s="5" t="s">
        <v>1911</v>
      </c>
      <c r="F97" s="5" t="s">
        <v>1912</v>
      </c>
      <c r="G97" t="str">
        <f t="shared" si="1"/>
        <v>51006 : Rope, chain, cable, wire, etc</v>
      </c>
    </row>
    <row r="98" spans="1:7">
      <c r="A98" s="5" t="s">
        <v>1674</v>
      </c>
      <c r="B98" s="5" t="s">
        <v>2</v>
      </c>
      <c r="C98" s="5" t="s">
        <v>161</v>
      </c>
      <c r="D98" s="5" t="s">
        <v>1999</v>
      </c>
      <c r="E98" s="5" t="s">
        <v>1911</v>
      </c>
      <c r="F98" s="5" t="s">
        <v>1912</v>
      </c>
      <c r="G98" t="str">
        <f t="shared" si="1"/>
        <v>51006 : Hardware</v>
      </c>
    </row>
    <row r="99" spans="1:7">
      <c r="A99" s="5" t="s">
        <v>1674</v>
      </c>
      <c r="B99" s="5" t="s">
        <v>2</v>
      </c>
      <c r="C99" s="5" t="s">
        <v>162</v>
      </c>
      <c r="D99" s="5" t="s">
        <v>2000</v>
      </c>
      <c r="E99" s="5" t="s">
        <v>1911</v>
      </c>
      <c r="F99" s="5" t="s">
        <v>1912</v>
      </c>
      <c r="G99" t="str">
        <f t="shared" si="1"/>
        <v>51006 : Bearings, bushings, gears, etc</v>
      </c>
    </row>
    <row r="100" spans="1:7">
      <c r="A100" s="5" t="s">
        <v>1674</v>
      </c>
      <c r="B100" s="5" t="s">
        <v>2</v>
      </c>
      <c r="C100" s="5" t="s">
        <v>163</v>
      </c>
      <c r="D100" s="5" t="s">
        <v>2001</v>
      </c>
      <c r="E100" s="5" t="s">
        <v>1911</v>
      </c>
      <c r="F100" s="5" t="s">
        <v>1912</v>
      </c>
      <c r="G100" t="str">
        <f t="shared" si="1"/>
        <v>51006 : Gaskets &amp; seals</v>
      </c>
    </row>
    <row r="101" spans="1:7">
      <c r="A101" s="5" t="s">
        <v>1674</v>
      </c>
      <c r="B101" s="5" t="s">
        <v>2</v>
      </c>
      <c r="C101" s="5" t="s">
        <v>164</v>
      </c>
      <c r="D101" s="5" t="s">
        <v>2002</v>
      </c>
      <c r="E101" s="5" t="s">
        <v>1911</v>
      </c>
      <c r="F101" s="5" t="s">
        <v>1912</v>
      </c>
      <c r="G101" t="str">
        <f t="shared" si="1"/>
        <v>51006 : Grinding &amp; polish mtrls</v>
      </c>
    </row>
    <row r="102" spans="1:7">
      <c r="A102" s="5" t="s">
        <v>1674</v>
      </c>
      <c r="B102" s="5" t="s">
        <v>2</v>
      </c>
      <c r="C102" s="5" t="s">
        <v>165</v>
      </c>
      <c r="D102" s="5" t="s">
        <v>2003</v>
      </c>
      <c r="E102" s="5" t="s">
        <v>1911</v>
      </c>
      <c r="F102" s="5" t="s">
        <v>1912</v>
      </c>
      <c r="G102" t="str">
        <f t="shared" si="1"/>
        <v>51006 : Grinding &amp; polish mtrls - Haz</v>
      </c>
    </row>
    <row r="103" spans="1:7">
      <c r="A103" s="5" t="s">
        <v>1674</v>
      </c>
      <c r="B103" s="5" t="s">
        <v>2</v>
      </c>
      <c r="C103" s="5" t="s">
        <v>67</v>
      </c>
      <c r="D103" s="5" t="s">
        <v>2004</v>
      </c>
      <c r="E103" s="5" t="s">
        <v>1911</v>
      </c>
      <c r="F103" s="5" t="s">
        <v>1912</v>
      </c>
      <c r="G103" t="str">
        <f t="shared" si="1"/>
        <v>51006 : Adhesives &amp; sealants</v>
      </c>
    </row>
    <row r="104" spans="1:7">
      <c r="A104" s="5" t="s">
        <v>1674</v>
      </c>
      <c r="B104" s="5" t="s">
        <v>2</v>
      </c>
      <c r="C104" s="5" t="s">
        <v>68</v>
      </c>
      <c r="D104" s="5" t="s">
        <v>2005</v>
      </c>
      <c r="E104" s="5" t="s">
        <v>1911</v>
      </c>
      <c r="F104" s="5" t="s">
        <v>1912</v>
      </c>
      <c r="G104" t="str">
        <f t="shared" si="1"/>
        <v>51006 : Adhesives &amp; sealants - Haz</v>
      </c>
    </row>
    <row r="105" spans="1:7">
      <c r="A105" s="5" t="s">
        <v>1674</v>
      </c>
      <c r="B105" s="5" t="s">
        <v>2</v>
      </c>
      <c r="C105" s="5" t="s">
        <v>302</v>
      </c>
      <c r="D105" s="5" t="s">
        <v>2006</v>
      </c>
      <c r="E105" s="5" t="s">
        <v>1911</v>
      </c>
      <c r="F105" s="5" t="s">
        <v>1912</v>
      </c>
      <c r="G105" t="str">
        <f t="shared" si="1"/>
        <v>51006 : Paint, primer, finishes</v>
      </c>
    </row>
    <row r="106" spans="1:7">
      <c r="A106" s="5" t="s">
        <v>1674</v>
      </c>
      <c r="B106" s="5" t="s">
        <v>2</v>
      </c>
      <c r="C106" s="5" t="s">
        <v>304</v>
      </c>
      <c r="D106" s="5" t="s">
        <v>2007</v>
      </c>
      <c r="E106" s="5" t="s">
        <v>1911</v>
      </c>
      <c r="F106" s="5" t="s">
        <v>1912</v>
      </c>
      <c r="G106" t="str">
        <f t="shared" si="1"/>
        <v>51006 : Paint, primer, finishes - Haz</v>
      </c>
    </row>
    <row r="107" spans="1:7">
      <c r="A107" s="5" t="s">
        <v>1674</v>
      </c>
      <c r="B107" s="5" t="s">
        <v>2</v>
      </c>
      <c r="C107" s="5" t="s">
        <v>260</v>
      </c>
      <c r="D107" s="5" t="s">
        <v>2008</v>
      </c>
      <c r="E107" s="5" t="s">
        <v>1911</v>
      </c>
      <c r="F107" s="5" t="s">
        <v>1912</v>
      </c>
      <c r="G107" t="str">
        <f t="shared" si="1"/>
        <v>51006 : Dyeing &amp; tanning extract</v>
      </c>
    </row>
    <row r="108" spans="1:7">
      <c r="A108" s="5" t="s">
        <v>1674</v>
      </c>
      <c r="B108" s="5" t="s">
        <v>2</v>
      </c>
      <c r="C108" s="5" t="s">
        <v>286</v>
      </c>
      <c r="D108" s="5" t="s">
        <v>2009</v>
      </c>
      <c r="E108" s="5" t="s">
        <v>1911</v>
      </c>
      <c r="F108" s="5" t="s">
        <v>1912</v>
      </c>
      <c r="G108" t="str">
        <f t="shared" si="1"/>
        <v>51006 : Dyeing &amp; tanning extract - Haz</v>
      </c>
    </row>
    <row r="109" spans="1:7">
      <c r="A109" s="5" t="s">
        <v>1674</v>
      </c>
      <c r="B109" s="5" t="s">
        <v>2</v>
      </c>
      <c r="C109" s="5" t="s">
        <v>278</v>
      </c>
      <c r="D109" s="5" t="s">
        <v>2010</v>
      </c>
      <c r="E109" s="5" t="s">
        <v>1917</v>
      </c>
      <c r="F109" s="5" t="s">
        <v>1918</v>
      </c>
      <c r="G109" t="str">
        <f t="shared" si="1"/>
        <v>51004 : Machined raw stock</v>
      </c>
    </row>
    <row r="110" spans="1:7">
      <c r="A110" s="5" t="s">
        <v>1674</v>
      </c>
      <c r="B110" s="5" t="s">
        <v>2</v>
      </c>
      <c r="C110" s="5" t="s">
        <v>279</v>
      </c>
      <c r="D110" s="5" t="s">
        <v>2011</v>
      </c>
      <c r="E110" s="5" t="s">
        <v>1904</v>
      </c>
      <c r="F110" s="5" t="s">
        <v>1905</v>
      </c>
      <c r="G110" t="str">
        <f t="shared" si="1"/>
        <v>51101 : indstrl optics</v>
      </c>
    </row>
    <row r="111" spans="1:7">
      <c r="A111" s="5" t="s">
        <v>1674</v>
      </c>
      <c r="B111" s="5" t="s">
        <v>2</v>
      </c>
      <c r="C111" s="5" t="s">
        <v>287</v>
      </c>
      <c r="D111" s="5" t="s">
        <v>2012</v>
      </c>
      <c r="E111" s="5" t="s">
        <v>1904</v>
      </c>
      <c r="F111" s="5" t="s">
        <v>1905</v>
      </c>
      <c r="G111" t="str">
        <f t="shared" si="1"/>
        <v>51101 : Pneumatic, hydraulic ctrl syst</v>
      </c>
    </row>
    <row r="112" spans="1:7">
      <c r="A112" s="5" t="s">
        <v>1674</v>
      </c>
      <c r="B112" s="5" t="s">
        <v>2</v>
      </c>
      <c r="C112" s="5" t="s">
        <v>280</v>
      </c>
      <c r="D112" s="5" t="s">
        <v>2013</v>
      </c>
      <c r="E112" s="5" t="s">
        <v>1904</v>
      </c>
      <c r="F112" s="5" t="s">
        <v>1905</v>
      </c>
      <c r="G112" t="str">
        <f t="shared" si="1"/>
        <v>51101 : Housings &amp; cabinets &amp; casings</v>
      </c>
    </row>
    <row r="113" spans="1:7">
      <c r="A113" s="5" t="s">
        <v>1674</v>
      </c>
      <c r="B113" s="5" t="s">
        <v>2</v>
      </c>
      <c r="C113" s="5" t="s">
        <v>288</v>
      </c>
      <c r="D113" s="5" t="s">
        <v>2014</v>
      </c>
      <c r="E113" s="5" t="s">
        <v>1917</v>
      </c>
      <c r="F113" s="5" t="s">
        <v>1918</v>
      </c>
      <c r="G113" t="str">
        <f t="shared" si="1"/>
        <v>51004 : Machine made parts</v>
      </c>
    </row>
    <row r="114" spans="1:7">
      <c r="A114" s="5" t="s">
        <v>1674</v>
      </c>
      <c r="B114" s="5" t="s">
        <v>2</v>
      </c>
      <c r="C114" s="5" t="s">
        <v>289</v>
      </c>
      <c r="D114" s="5" t="s">
        <v>2015</v>
      </c>
      <c r="E114" s="5" t="s">
        <v>1917</v>
      </c>
      <c r="F114" s="5" t="s">
        <v>1918</v>
      </c>
      <c r="G114" t="str">
        <f t="shared" si="1"/>
        <v>51004 : Machine made parts - Haz</v>
      </c>
    </row>
    <row r="115" spans="1:7">
      <c r="A115" s="5" t="s">
        <v>1674</v>
      </c>
      <c r="B115" s="5" t="s">
        <v>2</v>
      </c>
      <c r="C115" s="5" t="s">
        <v>290</v>
      </c>
      <c r="D115" s="5" t="s">
        <v>2016</v>
      </c>
      <c r="E115" s="5" t="s">
        <v>1917</v>
      </c>
      <c r="F115" s="5" t="s">
        <v>1918</v>
      </c>
      <c r="G115" t="str">
        <f t="shared" si="1"/>
        <v>51004 : Stampings &amp; sheet parts</v>
      </c>
    </row>
    <row r="116" spans="1:7">
      <c r="A116" s="5" t="s">
        <v>1674</v>
      </c>
      <c r="B116" s="5" t="s">
        <v>2</v>
      </c>
      <c r="C116" s="5" t="s">
        <v>281</v>
      </c>
      <c r="D116" s="5" t="s">
        <v>2017</v>
      </c>
      <c r="E116" s="5" t="s">
        <v>1917</v>
      </c>
      <c r="F116" s="5" t="s">
        <v>1918</v>
      </c>
      <c r="G116" t="str">
        <f t="shared" si="1"/>
        <v>51004 : Stampings &amp; sheet parts - Haz</v>
      </c>
    </row>
    <row r="117" spans="1:7">
      <c r="A117" s="5" t="s">
        <v>1674</v>
      </c>
      <c r="B117" s="5" t="s">
        <v>2</v>
      </c>
      <c r="C117" s="5" t="s">
        <v>291</v>
      </c>
      <c r="D117" s="5" t="s">
        <v>2018</v>
      </c>
      <c r="E117" s="5" t="s">
        <v>1917</v>
      </c>
      <c r="F117" s="5" t="s">
        <v>1918</v>
      </c>
      <c r="G117" t="str">
        <f t="shared" si="1"/>
        <v>51004 : Machined extrusions</v>
      </c>
    </row>
    <row r="118" spans="1:7">
      <c r="A118" s="5" t="s">
        <v>1674</v>
      </c>
      <c r="B118" s="5" t="s">
        <v>2</v>
      </c>
      <c r="C118" s="5" t="s">
        <v>292</v>
      </c>
      <c r="D118" s="5" t="s">
        <v>2019</v>
      </c>
      <c r="E118" s="5" t="s">
        <v>1917</v>
      </c>
      <c r="F118" s="5" t="s">
        <v>1918</v>
      </c>
      <c r="G118" t="str">
        <f t="shared" si="1"/>
        <v>51004 : Machined extrusions - Haz</v>
      </c>
    </row>
    <row r="119" spans="1:7">
      <c r="A119" s="5" t="s">
        <v>1674</v>
      </c>
      <c r="B119" s="5" t="s">
        <v>2</v>
      </c>
      <c r="C119" s="5" t="s">
        <v>293</v>
      </c>
      <c r="D119" s="5" t="s">
        <v>2020</v>
      </c>
      <c r="E119" s="5" t="s">
        <v>1917</v>
      </c>
      <c r="F119" s="5" t="s">
        <v>1918</v>
      </c>
      <c r="G119" t="str">
        <f t="shared" si="1"/>
        <v>51004 : Machined forgings</v>
      </c>
    </row>
    <row r="120" spans="1:7">
      <c r="A120" s="5" t="s">
        <v>1674</v>
      </c>
      <c r="B120" s="5" t="s">
        <v>2</v>
      </c>
      <c r="C120" s="5" t="s">
        <v>282</v>
      </c>
      <c r="D120" s="5" t="s">
        <v>2021</v>
      </c>
      <c r="E120" s="5" t="s">
        <v>1917</v>
      </c>
      <c r="F120" s="5" t="s">
        <v>1918</v>
      </c>
      <c r="G120" t="str">
        <f t="shared" si="1"/>
        <v>51004 : Machined forgings - Haz</v>
      </c>
    </row>
    <row r="121" spans="1:7">
      <c r="A121" s="5" t="s">
        <v>1674</v>
      </c>
      <c r="B121" s="5" t="s">
        <v>2</v>
      </c>
      <c r="C121" s="5" t="s">
        <v>283</v>
      </c>
      <c r="D121" s="5" t="s">
        <v>2022</v>
      </c>
      <c r="E121" s="5" t="s">
        <v>1911</v>
      </c>
      <c r="F121" s="5" t="s">
        <v>1912</v>
      </c>
      <c r="G121" t="str">
        <f t="shared" si="1"/>
        <v>51006 : Fabricated pipe asmblis</v>
      </c>
    </row>
    <row r="122" spans="1:7">
      <c r="A122" s="5" t="s">
        <v>1674</v>
      </c>
      <c r="B122" s="5" t="s">
        <v>2</v>
      </c>
      <c r="C122" s="5" t="s">
        <v>284</v>
      </c>
      <c r="D122" s="5" t="s">
        <v>2023</v>
      </c>
      <c r="E122" s="5" t="s">
        <v>1911</v>
      </c>
      <c r="F122" s="5" t="s">
        <v>1912</v>
      </c>
      <c r="G122" t="str">
        <f t="shared" si="1"/>
        <v>51006 : Fabricated bar stock asmblis</v>
      </c>
    </row>
    <row r="123" spans="1:7">
      <c r="A123" s="5" t="s">
        <v>1674</v>
      </c>
      <c r="B123" s="5" t="s">
        <v>2</v>
      </c>
      <c r="C123" s="5" t="s">
        <v>294</v>
      </c>
      <c r="D123" s="5" t="s">
        <v>2024</v>
      </c>
      <c r="E123" s="5" t="s">
        <v>1911</v>
      </c>
      <c r="F123" s="5" t="s">
        <v>1912</v>
      </c>
      <c r="G123" t="str">
        <f t="shared" si="1"/>
        <v>51006 : Fabricated structural asmblis</v>
      </c>
    </row>
    <row r="124" spans="1:7">
      <c r="A124" s="5" t="s">
        <v>1674</v>
      </c>
      <c r="B124" s="5" t="s">
        <v>2</v>
      </c>
      <c r="C124" s="5" t="s">
        <v>295</v>
      </c>
      <c r="D124" s="5" t="s">
        <v>2025</v>
      </c>
      <c r="E124" s="5" t="s">
        <v>1911</v>
      </c>
      <c r="F124" s="5" t="s">
        <v>1912</v>
      </c>
      <c r="G124" t="str">
        <f t="shared" si="1"/>
        <v>51006 : Fabricated sheet asmblis</v>
      </c>
    </row>
    <row r="125" spans="1:7">
      <c r="A125" s="5" t="s">
        <v>1674</v>
      </c>
      <c r="B125" s="5" t="s">
        <v>2</v>
      </c>
      <c r="C125" s="5" t="s">
        <v>285</v>
      </c>
      <c r="D125" s="5" t="s">
        <v>2026</v>
      </c>
      <c r="E125" s="5" t="s">
        <v>1911</v>
      </c>
      <c r="F125" s="5" t="s">
        <v>1912</v>
      </c>
      <c r="G125" t="str">
        <f t="shared" si="1"/>
        <v>51006 : Fabricated tube asmblis</v>
      </c>
    </row>
    <row r="126" spans="1:7">
      <c r="A126" s="5" t="s">
        <v>1674</v>
      </c>
      <c r="B126" s="5" t="s">
        <v>2</v>
      </c>
      <c r="C126" s="5" t="s">
        <v>296</v>
      </c>
      <c r="D126" s="5" t="s">
        <v>2027</v>
      </c>
      <c r="E126" s="5" t="s">
        <v>1911</v>
      </c>
      <c r="F126" s="5" t="s">
        <v>1912</v>
      </c>
      <c r="G126" t="str">
        <f t="shared" si="1"/>
        <v>51006 : Fabricated plate asmblis</v>
      </c>
    </row>
    <row r="127" spans="1:7">
      <c r="A127" s="5" t="s">
        <v>1674</v>
      </c>
      <c r="B127" s="5" t="s">
        <v>2</v>
      </c>
      <c r="C127" s="5" t="s">
        <v>297</v>
      </c>
      <c r="D127" s="5" t="s">
        <v>2028</v>
      </c>
      <c r="E127" s="5" t="s">
        <v>1911</v>
      </c>
      <c r="F127" s="5" t="s">
        <v>1912</v>
      </c>
      <c r="G127" t="str">
        <f t="shared" si="1"/>
        <v>51006 : Refractories</v>
      </c>
    </row>
    <row r="128" spans="1:7">
      <c r="A128" s="5" t="s">
        <v>1674</v>
      </c>
      <c r="B128" s="5" t="s">
        <v>2</v>
      </c>
      <c r="C128" s="5" t="s">
        <v>298</v>
      </c>
      <c r="D128" s="5" t="s">
        <v>2029</v>
      </c>
      <c r="E128" s="5" t="s">
        <v>1911</v>
      </c>
      <c r="F128" s="5" t="s">
        <v>1912</v>
      </c>
      <c r="G128" t="str">
        <f t="shared" si="1"/>
        <v>51006 : Magnets &amp; magnetic mtrls</v>
      </c>
    </row>
    <row r="129" spans="1:7">
      <c r="A129" s="5" t="s">
        <v>1674</v>
      </c>
      <c r="B129" s="5" t="s">
        <v>2</v>
      </c>
      <c r="C129" s="5" t="s">
        <v>70</v>
      </c>
      <c r="D129" s="5" t="s">
        <v>70</v>
      </c>
      <c r="E129" s="5" t="s">
        <v>1911</v>
      </c>
      <c r="F129" s="5" t="s">
        <v>1912</v>
      </c>
      <c r="G129" t="str">
        <f t="shared" si="1"/>
        <v>51006 : 3200000000</v>
      </c>
    </row>
    <row r="130" spans="1:7">
      <c r="A130" s="5" t="s">
        <v>1674</v>
      </c>
      <c r="B130" s="5" t="s">
        <v>2</v>
      </c>
      <c r="C130" s="5" t="s">
        <v>69</v>
      </c>
      <c r="D130" s="5" t="s">
        <v>2030</v>
      </c>
      <c r="E130" s="5" t="s">
        <v>1911</v>
      </c>
      <c r="F130" s="5" t="s">
        <v>1912</v>
      </c>
      <c r="G130" t="str">
        <f t="shared" si="1"/>
        <v>51006 : Circuitry &amp; microasmblis</v>
      </c>
    </row>
    <row r="131" spans="1:7">
      <c r="A131" s="5" t="s">
        <v>1674</v>
      </c>
      <c r="B131" s="5" t="s">
        <v>2</v>
      </c>
      <c r="C131" s="5" t="s">
        <v>167</v>
      </c>
      <c r="D131" s="5" t="s">
        <v>2031</v>
      </c>
      <c r="E131" s="5" t="s">
        <v>1911</v>
      </c>
      <c r="F131" s="5" t="s">
        <v>1912</v>
      </c>
      <c r="G131" t="str">
        <f t="shared" si="1"/>
        <v>51006 : Discrete semiconductor devices</v>
      </c>
    </row>
    <row r="132" spans="1:7">
      <c r="A132" s="5" t="s">
        <v>1674</v>
      </c>
      <c r="B132" s="5" t="s">
        <v>2</v>
      </c>
      <c r="C132" s="5" t="s">
        <v>168</v>
      </c>
      <c r="D132" s="5" t="s">
        <v>2032</v>
      </c>
      <c r="E132" s="5" t="s">
        <v>1911</v>
      </c>
      <c r="F132" s="5" t="s">
        <v>1912</v>
      </c>
      <c r="G132" t="str">
        <f t="shared" ref="G132:G195" si="2">CONCATENATE(E132, " : ", D132)</f>
        <v>51006 : Passive discrete parts</v>
      </c>
    </row>
    <row r="133" spans="1:7">
      <c r="A133" s="5" t="s">
        <v>1674</v>
      </c>
      <c r="B133" s="5" t="s">
        <v>2</v>
      </c>
      <c r="C133" s="5" t="s">
        <v>169</v>
      </c>
      <c r="D133" s="5" t="s">
        <v>2033</v>
      </c>
      <c r="E133" s="5" t="s">
        <v>1911</v>
      </c>
      <c r="F133" s="5" t="s">
        <v>1912</v>
      </c>
      <c r="G133" t="str">
        <f t="shared" si="2"/>
        <v>51006 : Electronic hdwr &amp; parts</v>
      </c>
    </row>
    <row r="134" spans="1:7">
      <c r="A134" s="5" t="s">
        <v>1674</v>
      </c>
      <c r="B134" s="5" t="s">
        <v>2</v>
      </c>
      <c r="C134" s="5" t="s">
        <v>170</v>
      </c>
      <c r="D134" s="5" t="s">
        <v>2034</v>
      </c>
      <c r="E134" s="5" t="s">
        <v>1911</v>
      </c>
      <c r="F134" s="5" t="s">
        <v>1912</v>
      </c>
      <c r="G134" t="str">
        <f t="shared" si="2"/>
        <v>51006 : Electronic hdwr &amp; parts - Haz</v>
      </c>
    </row>
    <row r="135" spans="1:7">
      <c r="A135" s="5" t="s">
        <v>1674</v>
      </c>
      <c r="B135" s="5" t="s">
        <v>2</v>
      </c>
      <c r="C135" s="5" t="s">
        <v>171</v>
      </c>
      <c r="D135" s="5" t="s">
        <v>2035</v>
      </c>
      <c r="E135" s="5" t="s">
        <v>1911</v>
      </c>
      <c r="F135" s="5" t="s">
        <v>1912</v>
      </c>
      <c r="G135" t="str">
        <f t="shared" si="2"/>
        <v>51006 : Electron tubes &amp; accssrs</v>
      </c>
    </row>
    <row r="136" spans="1:7">
      <c r="A136" s="5" t="s">
        <v>1674</v>
      </c>
      <c r="B136" s="5" t="s">
        <v>2</v>
      </c>
      <c r="C136" s="5" t="s">
        <v>172</v>
      </c>
      <c r="D136" s="5" t="s">
        <v>2036</v>
      </c>
      <c r="E136" s="5" t="s">
        <v>1911</v>
      </c>
      <c r="F136" s="5" t="s">
        <v>1912</v>
      </c>
      <c r="G136" t="str">
        <f t="shared" si="2"/>
        <v>51006 : Electron tubes &amp; accssrs - Haz</v>
      </c>
    </row>
    <row r="137" spans="1:7">
      <c r="A137" s="5" t="s">
        <v>1674</v>
      </c>
      <c r="B137" s="5" t="s">
        <v>2</v>
      </c>
      <c r="C137" s="5" t="s">
        <v>173</v>
      </c>
      <c r="D137" s="5" t="s">
        <v>2037</v>
      </c>
      <c r="E137" s="5" t="s">
        <v>1911</v>
      </c>
      <c r="F137" s="5" t="s">
        <v>1912</v>
      </c>
      <c r="G137" t="str">
        <f t="shared" si="2"/>
        <v>51006 : Automation ctrl devices</v>
      </c>
    </row>
    <row r="138" spans="1:7">
      <c r="A138" s="5" t="s">
        <v>1674</v>
      </c>
      <c r="B138" s="5" t="s">
        <v>2</v>
      </c>
      <c r="C138" s="5" t="s">
        <v>175</v>
      </c>
      <c r="D138" s="5" t="s">
        <v>175</v>
      </c>
      <c r="E138" s="5" t="s">
        <v>1911</v>
      </c>
      <c r="F138" s="5" t="s">
        <v>1912</v>
      </c>
      <c r="G138" t="str">
        <f t="shared" si="2"/>
        <v>51006 : 3900000000</v>
      </c>
    </row>
    <row r="139" spans="1:7">
      <c r="A139" s="5" t="s">
        <v>1674</v>
      </c>
      <c r="B139" s="5" t="s">
        <v>2</v>
      </c>
      <c r="C139" s="5" t="s">
        <v>174</v>
      </c>
      <c r="D139" s="5" t="s">
        <v>2038</v>
      </c>
      <c r="E139" s="5" t="s">
        <v>1911</v>
      </c>
      <c r="F139" s="5" t="s">
        <v>1912</v>
      </c>
      <c r="G139" t="str">
        <f t="shared" si="2"/>
        <v>51006 : Lamps, bulbs &amp; parts</v>
      </c>
    </row>
    <row r="140" spans="1:7">
      <c r="A140" s="5" t="s">
        <v>1674</v>
      </c>
      <c r="B140" s="5" t="s">
        <v>2</v>
      </c>
      <c r="C140" s="5" t="s">
        <v>176</v>
      </c>
      <c r="D140" s="5" t="s">
        <v>2039</v>
      </c>
      <c r="E140" s="5" t="s">
        <v>1911</v>
      </c>
      <c r="F140" s="5" t="s">
        <v>1912</v>
      </c>
      <c r="G140" t="str">
        <f t="shared" si="2"/>
        <v>51006 : Lamps, bulbs &amp; parts - Haz</v>
      </c>
    </row>
    <row r="141" spans="1:7">
      <c r="A141" s="5" t="s">
        <v>1674</v>
      </c>
      <c r="B141" s="5" t="s">
        <v>2</v>
      </c>
      <c r="C141" s="5" t="s">
        <v>177</v>
      </c>
      <c r="D141" s="5" t="s">
        <v>2040</v>
      </c>
      <c r="E141" s="5" t="s">
        <v>1911</v>
      </c>
      <c r="F141" s="5" t="s">
        <v>1912</v>
      </c>
      <c r="G141" t="str">
        <f t="shared" si="2"/>
        <v>51006 : Light Fixtures &amp; parts</v>
      </c>
    </row>
    <row r="142" spans="1:7">
      <c r="A142" s="5" t="s">
        <v>1674</v>
      </c>
      <c r="B142" s="5" t="s">
        <v>2</v>
      </c>
      <c r="C142" s="5" t="s">
        <v>178</v>
      </c>
      <c r="D142" s="5" t="s">
        <v>2041</v>
      </c>
      <c r="E142" s="5" t="s">
        <v>1911</v>
      </c>
      <c r="F142" s="5" t="s">
        <v>1912</v>
      </c>
      <c r="G142" t="str">
        <f t="shared" si="2"/>
        <v>51006 : Light Fixtures &amp; parts - Haz</v>
      </c>
    </row>
    <row r="143" spans="1:7">
      <c r="A143" s="5" t="s">
        <v>1674</v>
      </c>
      <c r="B143" s="5" t="s">
        <v>2</v>
      </c>
      <c r="C143" s="5" t="s">
        <v>179</v>
      </c>
      <c r="D143" s="5" t="s">
        <v>2042</v>
      </c>
      <c r="E143" s="5" t="s">
        <v>1911</v>
      </c>
      <c r="F143" s="5" t="s">
        <v>1912</v>
      </c>
      <c r="G143" t="str">
        <f t="shared" si="2"/>
        <v>51006 : Electrical equip &amp; parts</v>
      </c>
    </row>
    <row r="144" spans="1:7">
      <c r="A144" s="5" t="s">
        <v>1674</v>
      </c>
      <c r="B144" s="5" t="s">
        <v>2</v>
      </c>
      <c r="C144" s="5" t="s">
        <v>180</v>
      </c>
      <c r="D144" s="5" t="s">
        <v>2043</v>
      </c>
      <c r="E144" s="5" t="s">
        <v>1911</v>
      </c>
      <c r="F144" s="5" t="s">
        <v>1912</v>
      </c>
      <c r="G144" t="str">
        <f t="shared" si="2"/>
        <v>51006 : Electrical wire mgmt supplies</v>
      </c>
    </row>
    <row r="145" spans="1:7">
      <c r="A145" s="5" t="s">
        <v>1674</v>
      </c>
      <c r="B145" s="5" t="s">
        <v>2</v>
      </c>
      <c r="C145" s="5" t="s">
        <v>181</v>
      </c>
      <c r="D145" s="5" t="s">
        <v>2044</v>
      </c>
      <c r="E145" s="5" t="s">
        <v>1911</v>
      </c>
      <c r="F145" s="5" t="s">
        <v>1912</v>
      </c>
      <c r="G145" t="str">
        <f t="shared" si="2"/>
        <v>51006 : Fluid &amp; gas distribution</v>
      </c>
    </row>
    <row r="146" spans="1:7">
      <c r="A146" s="5" t="s">
        <v>1674</v>
      </c>
      <c r="B146" s="5" t="s">
        <v>2</v>
      </c>
      <c r="C146" s="5" t="s">
        <v>182</v>
      </c>
      <c r="D146" s="5" t="s">
        <v>2045</v>
      </c>
      <c r="E146" s="5" t="s">
        <v>1911</v>
      </c>
      <c r="F146" s="5" t="s">
        <v>1912</v>
      </c>
      <c r="G146" t="str">
        <f t="shared" si="2"/>
        <v>51006 : Fluid &amp; gas distribution - Haz</v>
      </c>
    </row>
    <row r="147" spans="1:7">
      <c r="A147" s="5" t="s">
        <v>1674</v>
      </c>
      <c r="B147" s="5" t="s">
        <v>2</v>
      </c>
      <c r="C147" s="5" t="s">
        <v>183</v>
      </c>
      <c r="D147" s="5" t="s">
        <v>2046</v>
      </c>
      <c r="E147" s="5" t="s">
        <v>1911</v>
      </c>
      <c r="F147" s="5" t="s">
        <v>1912</v>
      </c>
      <c r="G147" t="str">
        <f t="shared" si="2"/>
        <v>51006 : Pumps &amp; compressors</v>
      </c>
    </row>
    <row r="148" spans="1:7">
      <c r="A148" s="5" t="s">
        <v>1674</v>
      </c>
      <c r="B148" s="5" t="s">
        <v>2</v>
      </c>
      <c r="C148" s="5" t="s">
        <v>184</v>
      </c>
      <c r="D148" s="5" t="s">
        <v>2047</v>
      </c>
      <c r="E148" s="5" t="s">
        <v>1911</v>
      </c>
      <c r="F148" s="5" t="s">
        <v>1912</v>
      </c>
      <c r="G148" t="str">
        <f t="shared" si="2"/>
        <v>51006 : Pumps &amp; compressors - Haz</v>
      </c>
    </row>
    <row r="149" spans="1:7">
      <c r="A149" s="5" t="s">
        <v>1674</v>
      </c>
      <c r="B149" s="5" t="s">
        <v>2</v>
      </c>
      <c r="C149" s="5" t="s">
        <v>185</v>
      </c>
      <c r="D149" s="5" t="s">
        <v>2048</v>
      </c>
      <c r="E149" s="5" t="s">
        <v>1911</v>
      </c>
      <c r="F149" s="5" t="s">
        <v>1912</v>
      </c>
      <c r="G149" t="str">
        <f t="shared" si="2"/>
        <v>51006 : Filtering &amp; purification</v>
      </c>
    </row>
    <row r="150" spans="1:7">
      <c r="A150" s="5" t="s">
        <v>1674</v>
      </c>
      <c r="B150" s="5" t="s">
        <v>2</v>
      </c>
      <c r="C150" s="5" t="s">
        <v>186</v>
      </c>
      <c r="D150" s="5" t="s">
        <v>2049</v>
      </c>
      <c r="E150" s="5" t="s">
        <v>1911</v>
      </c>
      <c r="F150" s="5" t="s">
        <v>1912</v>
      </c>
      <c r="G150" t="str">
        <f t="shared" si="2"/>
        <v>51006 : Filtering &amp; purification - Haz</v>
      </c>
    </row>
    <row r="151" spans="1:7">
      <c r="A151" s="5" t="s">
        <v>1674</v>
      </c>
      <c r="B151" s="5" t="s">
        <v>2</v>
      </c>
      <c r="C151" s="5" t="s">
        <v>187</v>
      </c>
      <c r="D151" s="5" t="s">
        <v>2050</v>
      </c>
      <c r="E151" s="5" t="s">
        <v>1904</v>
      </c>
      <c r="F151" s="5" t="s">
        <v>1905</v>
      </c>
      <c r="G151" t="str">
        <f t="shared" si="2"/>
        <v>51101 : Measuring, testing instruments</v>
      </c>
    </row>
    <row r="152" spans="1:7">
      <c r="A152" s="5" t="s">
        <v>1674</v>
      </c>
      <c r="B152" s="5" t="s">
        <v>2</v>
      </c>
      <c r="C152" s="5" t="s">
        <v>231</v>
      </c>
      <c r="D152" s="5" t="s">
        <v>2051</v>
      </c>
      <c r="E152" s="5" t="s">
        <v>1904</v>
      </c>
      <c r="F152" s="5" t="s">
        <v>1905</v>
      </c>
      <c r="G152" t="str">
        <f t="shared" si="2"/>
        <v>51101 : Laboratory supplies &amp; fixtures</v>
      </c>
    </row>
    <row r="153" spans="1:7">
      <c r="A153" s="5" t="s">
        <v>1674</v>
      </c>
      <c r="B153" s="5" t="s">
        <v>2</v>
      </c>
      <c r="C153" s="5" t="s">
        <v>233</v>
      </c>
      <c r="D153" s="5" t="s">
        <v>233</v>
      </c>
      <c r="E153" s="5" t="s">
        <v>1904</v>
      </c>
      <c r="F153" s="5" t="s">
        <v>1905</v>
      </c>
      <c r="G153" t="str">
        <f t="shared" si="2"/>
        <v>51101 : 4200000000</v>
      </c>
    </row>
    <row r="154" spans="1:7">
      <c r="A154" s="5" t="s">
        <v>1674</v>
      </c>
      <c r="B154" s="5" t="s">
        <v>2</v>
      </c>
      <c r="C154" s="5" t="s">
        <v>232</v>
      </c>
      <c r="D154" s="5" t="s">
        <v>2052</v>
      </c>
      <c r="E154" s="5" t="s">
        <v>1904</v>
      </c>
      <c r="F154" s="5" t="s">
        <v>1905</v>
      </c>
      <c r="G154" t="str">
        <f t="shared" si="2"/>
        <v>51101 : Veterinary equip &amp; supplies</v>
      </c>
    </row>
    <row r="155" spans="1:7">
      <c r="A155" s="5" t="s">
        <v>1674</v>
      </c>
      <c r="B155" s="5" t="s">
        <v>2</v>
      </c>
      <c r="C155" s="5" t="s">
        <v>234</v>
      </c>
      <c r="D155" s="5" t="s">
        <v>2053</v>
      </c>
      <c r="E155" s="5" t="s">
        <v>1904</v>
      </c>
      <c r="F155" s="5" t="s">
        <v>1905</v>
      </c>
      <c r="G155" t="str">
        <f t="shared" si="2"/>
        <v>51101 : Med apparel &amp; textiles</v>
      </c>
    </row>
    <row r="156" spans="1:7">
      <c r="A156" s="5" t="s">
        <v>1674</v>
      </c>
      <c r="B156" s="5" t="s">
        <v>2</v>
      </c>
      <c r="C156" s="5" t="s">
        <v>235</v>
      </c>
      <c r="D156" s="5" t="s">
        <v>2054</v>
      </c>
      <c r="E156" s="5" t="s">
        <v>1904</v>
      </c>
      <c r="F156" s="5" t="s">
        <v>1905</v>
      </c>
      <c r="G156" t="str">
        <f t="shared" si="2"/>
        <v>51101 : Patient treatment supplies</v>
      </c>
    </row>
    <row r="157" spans="1:7">
      <c r="A157" s="5" t="s">
        <v>1674</v>
      </c>
      <c r="B157" s="5" t="s">
        <v>2</v>
      </c>
      <c r="C157" s="5" t="s">
        <v>71</v>
      </c>
      <c r="D157" s="5" t="s">
        <v>2055</v>
      </c>
      <c r="E157" s="5" t="s">
        <v>1904</v>
      </c>
      <c r="F157" s="5" t="s">
        <v>1905</v>
      </c>
      <c r="G157" t="str">
        <f t="shared" si="2"/>
        <v>51101 : Dental equip &amp; supplies</v>
      </c>
    </row>
    <row r="158" spans="1:7">
      <c r="A158" s="5" t="s">
        <v>1674</v>
      </c>
      <c r="B158" s="5" t="s">
        <v>2</v>
      </c>
      <c r="C158" s="5" t="s">
        <v>72</v>
      </c>
      <c r="D158" s="5" t="s">
        <v>2056</v>
      </c>
      <c r="E158" s="5" t="s">
        <v>1904</v>
      </c>
      <c r="F158" s="5" t="s">
        <v>1905</v>
      </c>
      <c r="G158" t="str">
        <f t="shared" si="2"/>
        <v>51101 : Dialysis equip &amp; supplies</v>
      </c>
    </row>
    <row r="159" spans="1:7">
      <c r="A159" s="5" t="s">
        <v>1674</v>
      </c>
      <c r="B159" s="5" t="s">
        <v>2</v>
      </c>
      <c r="C159" s="5" t="s">
        <v>73</v>
      </c>
      <c r="D159" s="5" t="s">
        <v>2057</v>
      </c>
      <c r="E159" s="5" t="s">
        <v>1904</v>
      </c>
      <c r="F159" s="5" t="s">
        <v>1905</v>
      </c>
      <c r="G159" t="str">
        <f t="shared" si="2"/>
        <v>51101 : Patient exam products</v>
      </c>
    </row>
    <row r="160" spans="1:7">
      <c r="A160" s="5" t="s">
        <v>1674</v>
      </c>
      <c r="B160" s="5" t="s">
        <v>2</v>
      </c>
      <c r="C160" s="5" t="s">
        <v>74</v>
      </c>
      <c r="D160" s="5" t="s">
        <v>2058</v>
      </c>
      <c r="E160" s="5" t="s">
        <v>1917</v>
      </c>
      <c r="F160" s="5" t="s">
        <v>1918</v>
      </c>
      <c r="G160" t="str">
        <f t="shared" si="2"/>
        <v>51004 : Aids for ADA compliance</v>
      </c>
    </row>
    <row r="161" spans="1:7">
      <c r="A161" s="5" t="s">
        <v>1674</v>
      </c>
      <c r="B161" s="5" t="s">
        <v>2</v>
      </c>
      <c r="C161" s="5" t="s">
        <v>75</v>
      </c>
      <c r="D161" s="5" t="s">
        <v>2059</v>
      </c>
      <c r="E161" s="5" t="s">
        <v>1904</v>
      </c>
      <c r="F161" s="5" t="s">
        <v>1905</v>
      </c>
      <c r="G161" t="str">
        <f t="shared" si="2"/>
        <v>51101 : Intravenous products</v>
      </c>
    </row>
    <row r="162" spans="1:7">
      <c r="A162" s="5" t="s">
        <v>1674</v>
      </c>
      <c r="B162" s="5" t="s">
        <v>2</v>
      </c>
      <c r="C162" s="5" t="s">
        <v>188</v>
      </c>
      <c r="D162" s="5" t="s">
        <v>2060</v>
      </c>
      <c r="E162" s="5" t="s">
        <v>1904</v>
      </c>
      <c r="F162" s="5" t="s">
        <v>1905</v>
      </c>
      <c r="G162" t="str">
        <f t="shared" si="2"/>
        <v>51101 : Clinical nutrition</v>
      </c>
    </row>
    <row r="163" spans="1:7">
      <c r="A163" s="5" t="s">
        <v>1674</v>
      </c>
      <c r="B163" s="5" t="s">
        <v>2</v>
      </c>
      <c r="C163" s="5" t="s">
        <v>189</v>
      </c>
      <c r="D163" s="5" t="s">
        <v>2061</v>
      </c>
      <c r="E163" s="5" t="s">
        <v>1904</v>
      </c>
      <c r="F163" s="5" t="s">
        <v>1905</v>
      </c>
      <c r="G163" t="str">
        <f t="shared" si="2"/>
        <v>51101 : Orthopedic products</v>
      </c>
    </row>
    <row r="164" spans="1:7">
      <c r="A164" s="5" t="s">
        <v>1674</v>
      </c>
      <c r="B164" s="5" t="s">
        <v>2</v>
      </c>
      <c r="C164" s="5" t="s">
        <v>190</v>
      </c>
      <c r="D164" s="5" t="s">
        <v>2062</v>
      </c>
      <c r="E164" s="5" t="s">
        <v>1904</v>
      </c>
      <c r="F164" s="5" t="s">
        <v>1905</v>
      </c>
      <c r="G164" t="str">
        <f t="shared" si="2"/>
        <v>51101 : Physical Therapy products</v>
      </c>
    </row>
    <row r="165" spans="1:7">
      <c r="A165" s="5" t="s">
        <v>1674</v>
      </c>
      <c r="B165" s="5" t="s">
        <v>2</v>
      </c>
      <c r="C165" s="5" t="s">
        <v>261</v>
      </c>
      <c r="D165" s="5" t="s">
        <v>2063</v>
      </c>
      <c r="E165" s="5" t="s">
        <v>1904</v>
      </c>
      <c r="F165" s="5" t="s">
        <v>1905</v>
      </c>
      <c r="G165" t="str">
        <f t="shared" si="2"/>
        <v>51101 : Mortuary supplies</v>
      </c>
    </row>
    <row r="166" spans="1:7">
      <c r="A166" s="5" t="s">
        <v>1674</v>
      </c>
      <c r="B166" s="5" t="s">
        <v>2</v>
      </c>
      <c r="C166" s="5" t="s">
        <v>262</v>
      </c>
      <c r="D166" s="5" t="s">
        <v>2064</v>
      </c>
      <c r="E166" s="5" t="s">
        <v>1904</v>
      </c>
      <c r="F166" s="5" t="s">
        <v>1905</v>
      </c>
      <c r="G166" t="str">
        <f t="shared" si="2"/>
        <v>51101 : Respiratory products</v>
      </c>
    </row>
    <row r="167" spans="1:7">
      <c r="A167" s="5" t="s">
        <v>1674</v>
      </c>
      <c r="B167" s="5" t="s">
        <v>2</v>
      </c>
      <c r="C167" s="5" t="s">
        <v>263</v>
      </c>
      <c r="D167" s="5" t="s">
        <v>2065</v>
      </c>
      <c r="E167" s="5" t="s">
        <v>1904</v>
      </c>
      <c r="F167" s="5" t="s">
        <v>1905</v>
      </c>
      <c r="G167" t="str">
        <f t="shared" si="2"/>
        <v>51101 : Surgical products</v>
      </c>
    </row>
    <row r="168" spans="1:7">
      <c r="A168" s="5" t="s">
        <v>1674</v>
      </c>
      <c r="B168" s="5" t="s">
        <v>2</v>
      </c>
      <c r="C168" s="5" t="s">
        <v>264</v>
      </c>
      <c r="D168" s="5" t="s">
        <v>2066</v>
      </c>
      <c r="E168" s="5" t="s">
        <v>1904</v>
      </c>
      <c r="F168" s="5" t="s">
        <v>1905</v>
      </c>
      <c r="G168" t="str">
        <f t="shared" si="2"/>
        <v>51101 : Med training supplies</v>
      </c>
    </row>
    <row r="169" spans="1:7">
      <c r="A169" s="5" t="s">
        <v>1674</v>
      </c>
      <c r="B169" s="5" t="s">
        <v>2</v>
      </c>
      <c r="C169" s="5" t="s">
        <v>265</v>
      </c>
      <c r="D169" s="5" t="s">
        <v>2067</v>
      </c>
      <c r="E169" s="5" t="s">
        <v>1904</v>
      </c>
      <c r="F169" s="5" t="s">
        <v>1905</v>
      </c>
      <c r="G169" t="str">
        <f t="shared" si="2"/>
        <v>51101 : Wound care products</v>
      </c>
    </row>
    <row r="170" spans="1:7">
      <c r="A170" s="5" t="s">
        <v>1674</v>
      </c>
      <c r="B170" s="5" t="s">
        <v>2</v>
      </c>
      <c r="C170" s="5" t="s">
        <v>266</v>
      </c>
      <c r="D170" s="5" t="s">
        <v>2068</v>
      </c>
      <c r="E170" s="5" t="s">
        <v>1904</v>
      </c>
      <c r="F170" s="5" t="s">
        <v>1905</v>
      </c>
      <c r="G170" t="str">
        <f t="shared" si="2"/>
        <v>51101 : Orthopedic surgical implants</v>
      </c>
    </row>
    <row r="171" spans="1:7">
      <c r="A171" s="5" t="s">
        <v>1674</v>
      </c>
      <c r="B171" s="5" t="s">
        <v>2</v>
      </c>
      <c r="C171" s="5" t="s">
        <v>76</v>
      </c>
      <c r="D171" s="5" t="s">
        <v>2069</v>
      </c>
      <c r="E171" s="5" t="s">
        <v>2070</v>
      </c>
      <c r="F171" s="5" t="s">
        <v>2071</v>
      </c>
      <c r="G171" t="str">
        <f t="shared" si="2"/>
        <v>51003 : Telecommunications parts</v>
      </c>
    </row>
    <row r="172" spans="1:7">
      <c r="A172" s="5" t="s">
        <v>1674</v>
      </c>
      <c r="B172" s="5" t="s">
        <v>2</v>
      </c>
      <c r="C172" s="5" t="s">
        <v>77</v>
      </c>
      <c r="D172" s="5" t="s">
        <v>2072</v>
      </c>
      <c r="E172" s="5" t="s">
        <v>2070</v>
      </c>
      <c r="F172" s="5" t="s">
        <v>2071</v>
      </c>
      <c r="G172" t="str">
        <f t="shared" si="2"/>
        <v>51003 : Telecommunications parts - Grn</v>
      </c>
    </row>
    <row r="173" spans="1:7">
      <c r="A173" s="5" t="s">
        <v>1674</v>
      </c>
      <c r="B173" s="5" t="s">
        <v>2</v>
      </c>
      <c r="C173" s="5" t="s">
        <v>78</v>
      </c>
      <c r="D173" s="5" t="s">
        <v>2073</v>
      </c>
      <c r="E173" s="5" t="s">
        <v>2074</v>
      </c>
      <c r="F173" s="5" t="s">
        <v>1918</v>
      </c>
      <c r="G173" t="str">
        <f t="shared" si="2"/>
        <v>51001 : Office &amp; desk accssrs</v>
      </c>
    </row>
    <row r="174" spans="1:7">
      <c r="A174" s="5" t="s">
        <v>1674</v>
      </c>
      <c r="B174" s="5" t="s">
        <v>2</v>
      </c>
      <c r="C174" s="5" t="s">
        <v>79</v>
      </c>
      <c r="D174" s="5" t="s">
        <v>2075</v>
      </c>
      <c r="E174" s="5" t="s">
        <v>2074</v>
      </c>
      <c r="F174" s="5" t="s">
        <v>1918</v>
      </c>
      <c r="G174" t="str">
        <f t="shared" si="2"/>
        <v>51001 : Office &amp; desk accssrs - Grn</v>
      </c>
    </row>
    <row r="175" spans="1:7">
      <c r="A175" s="5" t="s">
        <v>1674</v>
      </c>
      <c r="B175" s="5" t="s">
        <v>2</v>
      </c>
      <c r="C175" s="5" t="s">
        <v>2076</v>
      </c>
      <c r="D175" s="5" t="s">
        <v>2077</v>
      </c>
      <c r="E175" s="5" t="s">
        <v>2074</v>
      </c>
      <c r="F175" s="5" t="s">
        <v>1918</v>
      </c>
      <c r="G175" t="str">
        <f t="shared" si="2"/>
        <v>51001 : Office supplies</v>
      </c>
    </row>
    <row r="176" spans="1:7">
      <c r="A176" s="5" t="s">
        <v>1674</v>
      </c>
      <c r="B176" s="5" t="s">
        <v>2</v>
      </c>
      <c r="C176" s="5" t="s">
        <v>80</v>
      </c>
      <c r="D176" s="5" t="s">
        <v>2078</v>
      </c>
      <c r="E176" s="5" t="s">
        <v>2074</v>
      </c>
      <c r="F176" s="5" t="s">
        <v>1918</v>
      </c>
      <c r="G176" t="str">
        <f t="shared" si="2"/>
        <v>51001 : Office supplies - Grn</v>
      </c>
    </row>
    <row r="177" spans="1:7">
      <c r="A177" s="5" t="s">
        <v>1674</v>
      </c>
      <c r="B177" s="5" t="s">
        <v>2</v>
      </c>
      <c r="C177" s="5" t="s">
        <v>81</v>
      </c>
      <c r="D177" s="5" t="s">
        <v>2079</v>
      </c>
      <c r="E177" s="5" t="s">
        <v>1917</v>
      </c>
      <c r="F177" s="5" t="s">
        <v>1918</v>
      </c>
      <c r="G177" t="str">
        <f t="shared" si="2"/>
        <v>51004 : Photographic &amp; recording media</v>
      </c>
    </row>
    <row r="178" spans="1:7">
      <c r="A178" s="5" t="s">
        <v>1674</v>
      </c>
      <c r="B178" s="5" t="s">
        <v>2</v>
      </c>
      <c r="C178" s="5" t="s">
        <v>82</v>
      </c>
      <c r="D178" s="5" t="s">
        <v>2080</v>
      </c>
      <c r="E178" s="5" t="s">
        <v>1917</v>
      </c>
      <c r="F178" s="5" t="s">
        <v>1918</v>
      </c>
      <c r="G178" t="str">
        <f t="shared" si="2"/>
        <v>51004 : Photo, filmmaking supplies</v>
      </c>
    </row>
    <row r="179" spans="1:7">
      <c r="A179" s="5" t="s">
        <v>1674</v>
      </c>
      <c r="B179" s="5" t="s">
        <v>2</v>
      </c>
      <c r="C179" s="5" t="s">
        <v>83</v>
      </c>
      <c r="D179" s="5" t="s">
        <v>2081</v>
      </c>
      <c r="E179" s="5" t="s">
        <v>1917</v>
      </c>
      <c r="F179" s="5" t="s">
        <v>1918</v>
      </c>
      <c r="G179" t="str">
        <f t="shared" si="2"/>
        <v>51004 : Photographic supplies - Haz</v>
      </c>
    </row>
    <row r="180" spans="1:7">
      <c r="A180" s="5" t="s">
        <v>1674</v>
      </c>
      <c r="B180" s="5" t="s">
        <v>2</v>
      </c>
      <c r="C180" s="5" t="s">
        <v>192</v>
      </c>
      <c r="D180" s="5" t="s">
        <v>192</v>
      </c>
      <c r="E180" s="5" t="s">
        <v>1917</v>
      </c>
      <c r="F180" s="5" t="s">
        <v>1918</v>
      </c>
      <c r="G180" t="str">
        <f t="shared" si="2"/>
        <v>51004 : 4700000000</v>
      </c>
    </row>
    <row r="181" spans="1:7">
      <c r="A181" s="5" t="s">
        <v>1674</v>
      </c>
      <c r="B181" s="5" t="s">
        <v>2</v>
      </c>
      <c r="C181" s="5" t="s">
        <v>191</v>
      </c>
      <c r="D181" s="5" t="s">
        <v>2082</v>
      </c>
      <c r="E181" s="5" t="s">
        <v>1917</v>
      </c>
      <c r="F181" s="5" t="s">
        <v>1918</v>
      </c>
      <c r="G181" t="str">
        <f t="shared" si="2"/>
        <v>51004 : Water treatment supply</v>
      </c>
    </row>
    <row r="182" spans="1:7">
      <c r="A182" s="5" t="s">
        <v>1674</v>
      </c>
      <c r="B182" s="5" t="s">
        <v>2</v>
      </c>
      <c r="C182" s="5" t="s">
        <v>193</v>
      </c>
      <c r="D182" s="5" t="s">
        <v>2083</v>
      </c>
      <c r="E182" s="5" t="s">
        <v>1917</v>
      </c>
      <c r="F182" s="5" t="s">
        <v>1918</v>
      </c>
      <c r="G182" t="str">
        <f t="shared" si="2"/>
        <v>51004 : Water treatment supply - Haz</v>
      </c>
    </row>
    <row r="183" spans="1:7">
      <c r="A183" s="5" t="s">
        <v>1674</v>
      </c>
      <c r="B183" s="5" t="s">
        <v>2</v>
      </c>
      <c r="C183" s="5" t="s">
        <v>194</v>
      </c>
      <c r="D183" s="5" t="s">
        <v>2084</v>
      </c>
      <c r="E183" s="5" t="s">
        <v>1911</v>
      </c>
      <c r="F183" s="5" t="s">
        <v>1912</v>
      </c>
      <c r="G183" t="str">
        <f t="shared" si="2"/>
        <v>51006 : Janitorial equip</v>
      </c>
    </row>
    <row r="184" spans="1:7">
      <c r="A184" s="5" t="s">
        <v>1674</v>
      </c>
      <c r="B184" s="5" t="s">
        <v>2</v>
      </c>
      <c r="C184" s="5" t="s">
        <v>195</v>
      </c>
      <c r="D184" s="5" t="s">
        <v>2085</v>
      </c>
      <c r="E184" s="5" t="s">
        <v>1911</v>
      </c>
      <c r="F184" s="5" t="s">
        <v>1912</v>
      </c>
      <c r="G184" t="str">
        <f t="shared" si="2"/>
        <v>51006 : Janitorial supplies</v>
      </c>
    </row>
    <row r="185" spans="1:7">
      <c r="A185" s="5" t="s">
        <v>1674</v>
      </c>
      <c r="B185" s="5" t="s">
        <v>2</v>
      </c>
      <c r="C185" s="5" t="s">
        <v>196</v>
      </c>
      <c r="D185" s="5" t="s">
        <v>2086</v>
      </c>
      <c r="E185" s="5" t="s">
        <v>1911</v>
      </c>
      <c r="F185" s="5" t="s">
        <v>1912</v>
      </c>
      <c r="G185" t="str">
        <f t="shared" si="2"/>
        <v>51006 : Janitorial supplies - Haz</v>
      </c>
    </row>
    <row r="186" spans="1:7">
      <c r="A186" s="5" t="s">
        <v>1674</v>
      </c>
      <c r="B186" s="5" t="s">
        <v>2</v>
      </c>
      <c r="C186" s="5" t="s">
        <v>197</v>
      </c>
      <c r="D186" s="5" t="s">
        <v>2087</v>
      </c>
      <c r="E186" s="5" t="s">
        <v>1911</v>
      </c>
      <c r="F186" s="5" t="s">
        <v>1912</v>
      </c>
      <c r="G186" t="str">
        <f t="shared" si="2"/>
        <v>51006 : Janitorial supplies - Grn</v>
      </c>
    </row>
    <row r="187" spans="1:7">
      <c r="A187" s="5" t="s">
        <v>1674</v>
      </c>
      <c r="B187" s="5" t="s">
        <v>2</v>
      </c>
      <c r="C187" s="5" t="s">
        <v>200</v>
      </c>
      <c r="D187" s="5" t="s">
        <v>2088</v>
      </c>
      <c r="E187" s="5" t="s">
        <v>2089</v>
      </c>
      <c r="F187" s="5" t="s">
        <v>2090</v>
      </c>
      <c r="G187" t="str">
        <f t="shared" si="2"/>
        <v>51107 : Camping accssrs</v>
      </c>
    </row>
    <row r="188" spans="1:7">
      <c r="A188" s="5" t="s">
        <v>1674</v>
      </c>
      <c r="B188" s="5" t="s">
        <v>2</v>
      </c>
      <c r="C188" s="5" t="s">
        <v>201</v>
      </c>
      <c r="D188" s="5" t="s">
        <v>2091</v>
      </c>
      <c r="E188" s="5" t="s">
        <v>2089</v>
      </c>
      <c r="F188" s="5" t="s">
        <v>2090</v>
      </c>
      <c r="G188" t="str">
        <f t="shared" si="2"/>
        <v>51107 : fshng &amp; hunting equip</v>
      </c>
    </row>
    <row r="189" spans="1:7">
      <c r="A189" s="5" t="s">
        <v>1674</v>
      </c>
      <c r="B189" s="5" t="s">
        <v>2</v>
      </c>
      <c r="C189" s="5" t="s">
        <v>202</v>
      </c>
      <c r="D189" s="5" t="s">
        <v>2092</v>
      </c>
      <c r="E189" s="5" t="s">
        <v>2089</v>
      </c>
      <c r="F189" s="5" t="s">
        <v>2090</v>
      </c>
      <c r="G189" t="str">
        <f t="shared" si="2"/>
        <v>51107 : fshng &amp; hunting equip - Haz</v>
      </c>
    </row>
    <row r="190" spans="1:7">
      <c r="A190" s="5" t="s">
        <v>1674</v>
      </c>
      <c r="B190" s="5" t="s">
        <v>2</v>
      </c>
      <c r="C190" s="5" t="s">
        <v>203</v>
      </c>
      <c r="D190" s="5" t="s">
        <v>2093</v>
      </c>
      <c r="E190" s="5" t="s">
        <v>2089</v>
      </c>
      <c r="F190" s="5" t="s">
        <v>2090</v>
      </c>
      <c r="G190" t="str">
        <f t="shared" si="2"/>
        <v>51107 : Watersports equip</v>
      </c>
    </row>
    <row r="191" spans="1:7">
      <c r="A191" s="5" t="s">
        <v>1674</v>
      </c>
      <c r="B191" s="5" t="s">
        <v>2</v>
      </c>
      <c r="C191" s="5" t="s">
        <v>204</v>
      </c>
      <c r="D191" s="5" t="s">
        <v>2094</v>
      </c>
      <c r="E191" s="5" t="s">
        <v>2089</v>
      </c>
      <c r="F191" s="5" t="s">
        <v>2090</v>
      </c>
      <c r="G191" t="str">
        <f t="shared" si="2"/>
        <v>51107 : Winter sports equip</v>
      </c>
    </row>
    <row r="192" spans="1:7">
      <c r="A192" s="5" t="s">
        <v>1674</v>
      </c>
      <c r="B192" s="5" t="s">
        <v>2</v>
      </c>
      <c r="C192" s="5" t="s">
        <v>205</v>
      </c>
      <c r="D192" s="5" t="s">
        <v>2095</v>
      </c>
      <c r="E192" s="5" t="s">
        <v>2089</v>
      </c>
      <c r="F192" s="5" t="s">
        <v>2090</v>
      </c>
      <c r="G192" t="str">
        <f t="shared" si="2"/>
        <v>51107 : Field &amp; court sports equip</v>
      </c>
    </row>
    <row r="193" spans="1:7">
      <c r="A193" s="5" t="s">
        <v>1674</v>
      </c>
      <c r="B193" s="5" t="s">
        <v>2</v>
      </c>
      <c r="C193" s="5" t="s">
        <v>206</v>
      </c>
      <c r="D193" s="5" t="s">
        <v>2096</v>
      </c>
      <c r="E193" s="5" t="s">
        <v>2089</v>
      </c>
      <c r="F193" s="5" t="s">
        <v>2090</v>
      </c>
      <c r="G193" t="str">
        <f t="shared" si="2"/>
        <v>51107 : Gymnastics &amp; boxing equip</v>
      </c>
    </row>
    <row r="194" spans="1:7">
      <c r="A194" s="5" t="s">
        <v>1674</v>
      </c>
      <c r="B194" s="5" t="s">
        <v>2</v>
      </c>
      <c r="C194" s="5" t="s">
        <v>207</v>
      </c>
      <c r="D194" s="5" t="s">
        <v>2097</v>
      </c>
      <c r="E194" s="5" t="s">
        <v>2089</v>
      </c>
      <c r="F194" s="5" t="s">
        <v>2090</v>
      </c>
      <c r="G194" t="str">
        <f t="shared" si="2"/>
        <v>51107 : Target &amp; table games &amp; equip</v>
      </c>
    </row>
    <row r="195" spans="1:7">
      <c r="A195" s="5" t="s">
        <v>1674</v>
      </c>
      <c r="B195" s="5" t="s">
        <v>2</v>
      </c>
      <c r="C195" s="5" t="s">
        <v>84</v>
      </c>
      <c r="D195" s="5" t="s">
        <v>2098</v>
      </c>
      <c r="E195" s="5" t="s">
        <v>2089</v>
      </c>
      <c r="F195" s="5" t="s">
        <v>2090</v>
      </c>
      <c r="G195" t="str">
        <f t="shared" si="2"/>
        <v>51107 : Other sports</v>
      </c>
    </row>
    <row r="196" spans="1:7">
      <c r="A196" s="5" t="s">
        <v>1674</v>
      </c>
      <c r="B196" s="5" t="s">
        <v>2</v>
      </c>
      <c r="C196" s="5" t="s">
        <v>208</v>
      </c>
      <c r="D196" s="5" t="s">
        <v>2099</v>
      </c>
      <c r="E196" s="5" t="s">
        <v>2089</v>
      </c>
      <c r="F196" s="5" t="s">
        <v>2090</v>
      </c>
      <c r="G196" t="str">
        <f t="shared" ref="G196:G259" si="3">CONCATENATE(E196, " : ", D196)</f>
        <v>51107 : Sports equip &amp; accssrs</v>
      </c>
    </row>
    <row r="197" spans="1:7">
      <c r="A197" s="5" t="s">
        <v>1674</v>
      </c>
      <c r="B197" s="5" t="s">
        <v>2</v>
      </c>
      <c r="C197" s="5" t="s">
        <v>86</v>
      </c>
      <c r="D197" s="5" t="s">
        <v>86</v>
      </c>
      <c r="E197" s="5" t="s">
        <v>2100</v>
      </c>
      <c r="F197" s="5" t="s">
        <v>2101</v>
      </c>
      <c r="G197" t="str">
        <f t="shared" si="3"/>
        <v>51005 : 5000000000</v>
      </c>
    </row>
    <row r="198" spans="1:7">
      <c r="A198" s="5" t="s">
        <v>1674</v>
      </c>
      <c r="B198" s="5" t="s">
        <v>2</v>
      </c>
      <c r="C198" s="5" t="s">
        <v>85</v>
      </c>
      <c r="D198" s="5" t="s">
        <v>2102</v>
      </c>
      <c r="E198" s="5" t="s">
        <v>2100</v>
      </c>
      <c r="F198" s="5" t="s">
        <v>2101</v>
      </c>
      <c r="G198" t="str">
        <f t="shared" si="3"/>
        <v>51005 : Nuts &amp; seeds</v>
      </c>
    </row>
    <row r="199" spans="1:7">
      <c r="A199" s="5" t="s">
        <v>1674</v>
      </c>
      <c r="B199" s="5" t="s">
        <v>2</v>
      </c>
      <c r="C199" s="5" t="s">
        <v>87</v>
      </c>
      <c r="D199" s="5" t="s">
        <v>2103</v>
      </c>
      <c r="E199" s="5" t="s">
        <v>2100</v>
      </c>
      <c r="F199" s="5" t="s">
        <v>2101</v>
      </c>
      <c r="G199" t="str">
        <f t="shared" si="3"/>
        <v>51005 : Nuts &amp; seeds - Grn</v>
      </c>
    </row>
    <row r="200" spans="1:7">
      <c r="A200" s="5" t="s">
        <v>1674</v>
      </c>
      <c r="B200" s="5" t="s">
        <v>2</v>
      </c>
      <c r="C200" s="5" t="s">
        <v>88</v>
      </c>
      <c r="D200" s="5" t="s">
        <v>2104</v>
      </c>
      <c r="E200" s="5" t="s">
        <v>2100</v>
      </c>
      <c r="F200" s="5" t="s">
        <v>2101</v>
      </c>
      <c r="G200" t="str">
        <f t="shared" si="3"/>
        <v>51005 : Meat &amp; poultry products</v>
      </c>
    </row>
    <row r="201" spans="1:7">
      <c r="A201" s="5" t="s">
        <v>1674</v>
      </c>
      <c r="B201" s="5" t="s">
        <v>2</v>
      </c>
      <c r="C201" s="5" t="s">
        <v>209</v>
      </c>
      <c r="D201" s="5" t="s">
        <v>2105</v>
      </c>
      <c r="E201" s="5" t="s">
        <v>2100</v>
      </c>
      <c r="F201" s="5" t="s">
        <v>2101</v>
      </c>
      <c r="G201" t="str">
        <f t="shared" si="3"/>
        <v>51005 : Meat &amp; poultry products - Grn</v>
      </c>
    </row>
    <row r="202" spans="1:7">
      <c r="A202" s="5" t="s">
        <v>1674</v>
      </c>
      <c r="B202" s="5" t="s">
        <v>2</v>
      </c>
      <c r="C202" s="5" t="s">
        <v>89</v>
      </c>
      <c r="D202" s="5" t="s">
        <v>2106</v>
      </c>
      <c r="E202" s="5" t="s">
        <v>2100</v>
      </c>
      <c r="F202" s="5" t="s">
        <v>2101</v>
      </c>
      <c r="G202" t="str">
        <f t="shared" si="3"/>
        <v>51005 : Seafood</v>
      </c>
    </row>
    <row r="203" spans="1:7">
      <c r="A203" s="5" t="s">
        <v>1674</v>
      </c>
      <c r="B203" s="5" t="s">
        <v>2</v>
      </c>
      <c r="C203" s="5" t="s">
        <v>210</v>
      </c>
      <c r="D203" s="5" t="s">
        <v>2107</v>
      </c>
      <c r="E203" s="5" t="s">
        <v>2100</v>
      </c>
      <c r="F203" s="5" t="s">
        <v>2101</v>
      </c>
      <c r="G203" t="str">
        <f t="shared" si="3"/>
        <v>51005 : Seafood - Grn</v>
      </c>
    </row>
    <row r="204" spans="1:7">
      <c r="A204" s="5" t="s">
        <v>1674</v>
      </c>
      <c r="B204" s="5" t="s">
        <v>2</v>
      </c>
      <c r="C204" s="5" t="s">
        <v>90</v>
      </c>
      <c r="D204" s="5" t="s">
        <v>2108</v>
      </c>
      <c r="E204" s="5" t="s">
        <v>2100</v>
      </c>
      <c r="F204" s="5" t="s">
        <v>2101</v>
      </c>
      <c r="G204" t="str">
        <f t="shared" si="3"/>
        <v>51005 : Dairy products &amp; eggs</v>
      </c>
    </row>
    <row r="205" spans="1:7">
      <c r="A205" s="5" t="s">
        <v>1674</v>
      </c>
      <c r="B205" s="5" t="s">
        <v>2</v>
      </c>
      <c r="C205" s="5" t="s">
        <v>91</v>
      </c>
      <c r="D205" s="5" t="s">
        <v>2109</v>
      </c>
      <c r="E205" s="5" t="s">
        <v>2100</v>
      </c>
      <c r="F205" s="5" t="s">
        <v>2101</v>
      </c>
      <c r="G205" t="str">
        <f t="shared" si="3"/>
        <v>51005 : Dairy products &amp; eggs - Grn</v>
      </c>
    </row>
    <row r="206" spans="1:7">
      <c r="A206" s="5" t="s">
        <v>1674</v>
      </c>
      <c r="B206" s="5" t="s">
        <v>2</v>
      </c>
      <c r="C206" s="5" t="s">
        <v>92</v>
      </c>
      <c r="D206" s="5" t="s">
        <v>2110</v>
      </c>
      <c r="E206" s="5" t="s">
        <v>2100</v>
      </c>
      <c r="F206" s="5" t="s">
        <v>2101</v>
      </c>
      <c r="G206" t="str">
        <f t="shared" si="3"/>
        <v>51005 : Edible oils &amp; fats</v>
      </c>
    </row>
    <row r="207" spans="1:7">
      <c r="A207" s="5" t="s">
        <v>1674</v>
      </c>
      <c r="B207" s="5" t="s">
        <v>2</v>
      </c>
      <c r="C207" s="5" t="s">
        <v>211</v>
      </c>
      <c r="D207" s="5" t="s">
        <v>2111</v>
      </c>
      <c r="E207" s="5" t="s">
        <v>2100</v>
      </c>
      <c r="F207" s="5" t="s">
        <v>2101</v>
      </c>
      <c r="G207" t="str">
        <f t="shared" si="3"/>
        <v>51005 : Edible oils &amp; fats - Grn</v>
      </c>
    </row>
    <row r="208" spans="1:7">
      <c r="A208" s="5" t="s">
        <v>1674</v>
      </c>
      <c r="B208" s="5" t="s">
        <v>2</v>
      </c>
      <c r="C208" s="5" t="s">
        <v>212</v>
      </c>
      <c r="D208" s="5" t="s">
        <v>2112</v>
      </c>
      <c r="E208" s="5" t="s">
        <v>2100</v>
      </c>
      <c r="F208" s="5" t="s">
        <v>2101</v>
      </c>
      <c r="G208" t="str">
        <f t="shared" si="3"/>
        <v>51005 : Confectionary products</v>
      </c>
    </row>
    <row r="209" spans="1:7">
      <c r="A209" s="5" t="s">
        <v>1674</v>
      </c>
      <c r="B209" s="5" t="s">
        <v>2</v>
      </c>
      <c r="C209" s="5" t="s">
        <v>93</v>
      </c>
      <c r="D209" s="5" t="s">
        <v>2113</v>
      </c>
      <c r="E209" s="5" t="s">
        <v>2100</v>
      </c>
      <c r="F209" s="5" t="s">
        <v>2101</v>
      </c>
      <c r="G209" t="str">
        <f t="shared" si="3"/>
        <v>51005 : Confectionary products - Grn</v>
      </c>
    </row>
    <row r="210" spans="1:7">
      <c r="A210" s="5" t="s">
        <v>1674</v>
      </c>
      <c r="B210" s="5" t="s">
        <v>2</v>
      </c>
      <c r="C210" s="5" t="s">
        <v>213</v>
      </c>
      <c r="D210" s="5" t="s">
        <v>2114</v>
      </c>
      <c r="E210" s="5" t="s">
        <v>2100</v>
      </c>
      <c r="F210" s="5" t="s">
        <v>2101</v>
      </c>
      <c r="G210" t="str">
        <f t="shared" si="3"/>
        <v>51005 : Seasonings</v>
      </c>
    </row>
    <row r="211" spans="1:7">
      <c r="A211" s="5" t="s">
        <v>1674</v>
      </c>
      <c r="B211" s="5" t="s">
        <v>2</v>
      </c>
      <c r="C211" s="5" t="s">
        <v>214</v>
      </c>
      <c r="D211" s="5" t="s">
        <v>2115</v>
      </c>
      <c r="E211" s="5" t="s">
        <v>2100</v>
      </c>
      <c r="F211" s="5" t="s">
        <v>2101</v>
      </c>
      <c r="G211" t="str">
        <f t="shared" si="3"/>
        <v>51005 : Seasonings - Grn</v>
      </c>
    </row>
    <row r="212" spans="1:7">
      <c r="A212" s="5" t="s">
        <v>1674</v>
      </c>
      <c r="B212" s="5" t="s">
        <v>2</v>
      </c>
      <c r="C212" s="5" t="s">
        <v>94</v>
      </c>
      <c r="D212" s="5" t="s">
        <v>2116</v>
      </c>
      <c r="E212" s="5" t="s">
        <v>2100</v>
      </c>
      <c r="F212" s="5" t="s">
        <v>2101</v>
      </c>
      <c r="G212" t="str">
        <f t="shared" si="3"/>
        <v>51005 : Bread &amp; bakery products</v>
      </c>
    </row>
    <row r="213" spans="1:7">
      <c r="A213" s="5" t="s">
        <v>1674</v>
      </c>
      <c r="B213" s="5" t="s">
        <v>2</v>
      </c>
      <c r="C213" s="5" t="s">
        <v>215</v>
      </c>
      <c r="D213" s="5" t="s">
        <v>2117</v>
      </c>
      <c r="E213" s="5" t="s">
        <v>2100</v>
      </c>
      <c r="F213" s="5" t="s">
        <v>2101</v>
      </c>
      <c r="G213" t="str">
        <f t="shared" si="3"/>
        <v>51005 : Bread &amp; bakery products - Grn</v>
      </c>
    </row>
    <row r="214" spans="1:7">
      <c r="A214" s="5" t="s">
        <v>1674</v>
      </c>
      <c r="B214" s="5" t="s">
        <v>2</v>
      </c>
      <c r="C214" s="5" t="s">
        <v>95</v>
      </c>
      <c r="D214" s="5" t="s">
        <v>2118</v>
      </c>
      <c r="E214" s="5" t="s">
        <v>2100</v>
      </c>
      <c r="F214" s="5" t="s">
        <v>2101</v>
      </c>
      <c r="G214" t="str">
        <f t="shared" si="3"/>
        <v>51005 : Packaged foods</v>
      </c>
    </row>
    <row r="215" spans="1:7">
      <c r="A215" s="5" t="s">
        <v>1674</v>
      </c>
      <c r="B215" s="5" t="s">
        <v>2</v>
      </c>
      <c r="C215" s="5" t="s">
        <v>96</v>
      </c>
      <c r="D215" s="5" t="s">
        <v>2119</v>
      </c>
      <c r="E215" s="5" t="s">
        <v>2100</v>
      </c>
      <c r="F215" s="5" t="s">
        <v>2101</v>
      </c>
      <c r="G215" t="str">
        <f t="shared" si="3"/>
        <v>51005 : Packaged foods - Grn</v>
      </c>
    </row>
    <row r="216" spans="1:7">
      <c r="A216" s="5" t="s">
        <v>1674</v>
      </c>
      <c r="B216" s="5" t="s">
        <v>2</v>
      </c>
      <c r="C216" s="5" t="s">
        <v>97</v>
      </c>
      <c r="D216" s="5" t="s">
        <v>2120</v>
      </c>
      <c r="E216" s="5" t="s">
        <v>2100</v>
      </c>
      <c r="F216" s="5" t="s">
        <v>2101</v>
      </c>
      <c r="G216" t="str">
        <f t="shared" si="3"/>
        <v>51005 : Beverages</v>
      </c>
    </row>
    <row r="217" spans="1:7">
      <c r="A217" s="5" t="s">
        <v>1674</v>
      </c>
      <c r="B217" s="5" t="s">
        <v>2</v>
      </c>
      <c r="C217" s="5" t="s">
        <v>98</v>
      </c>
      <c r="D217" s="5" t="s">
        <v>2121</v>
      </c>
      <c r="E217" s="5" t="s">
        <v>2100</v>
      </c>
      <c r="F217" s="5" t="s">
        <v>2101</v>
      </c>
      <c r="G217" t="str">
        <f t="shared" si="3"/>
        <v>51005 : Beverages - Grn</v>
      </c>
    </row>
    <row r="218" spans="1:7">
      <c r="A218" s="5" t="s">
        <v>1674</v>
      </c>
      <c r="B218" s="5" t="s">
        <v>2</v>
      </c>
      <c r="C218" s="5" t="s">
        <v>99</v>
      </c>
      <c r="D218" s="5" t="s">
        <v>2122</v>
      </c>
      <c r="E218" s="5" t="s">
        <v>2100</v>
      </c>
      <c r="F218" s="5" t="s">
        <v>2101</v>
      </c>
      <c r="G218" t="str">
        <f t="shared" si="3"/>
        <v>51005 : Tobacco products</v>
      </c>
    </row>
    <row r="219" spans="1:7">
      <c r="A219" s="5" t="s">
        <v>1674</v>
      </c>
      <c r="B219" s="5" t="s">
        <v>2</v>
      </c>
      <c r="C219" s="5" t="s">
        <v>100</v>
      </c>
      <c r="D219" s="5" t="s">
        <v>2123</v>
      </c>
      <c r="E219" s="5" t="s">
        <v>2100</v>
      </c>
      <c r="F219" s="5" t="s">
        <v>2101</v>
      </c>
      <c r="G219" t="str">
        <f t="shared" si="3"/>
        <v>51005 : Tobacco products - Grn</v>
      </c>
    </row>
    <row r="220" spans="1:7">
      <c r="A220" s="5" t="s">
        <v>1674</v>
      </c>
      <c r="B220" s="5" t="s">
        <v>2</v>
      </c>
      <c r="C220" s="5" t="s">
        <v>216</v>
      </c>
      <c r="D220" s="5" t="s">
        <v>2124</v>
      </c>
      <c r="E220" s="5" t="s">
        <v>2100</v>
      </c>
      <c r="F220" s="5" t="s">
        <v>2101</v>
      </c>
      <c r="G220" t="str">
        <f t="shared" si="3"/>
        <v>51005 : Cereal &amp; pulse products</v>
      </c>
    </row>
    <row r="221" spans="1:7">
      <c r="A221" s="5" t="s">
        <v>1674</v>
      </c>
      <c r="B221" s="5" t="s">
        <v>2</v>
      </c>
      <c r="C221" s="5" t="s">
        <v>217</v>
      </c>
      <c r="D221" s="5" t="s">
        <v>2125</v>
      </c>
      <c r="E221" s="5" t="s">
        <v>2100</v>
      </c>
      <c r="F221" s="5" t="s">
        <v>2101</v>
      </c>
      <c r="G221" t="str">
        <f t="shared" si="3"/>
        <v>51005 : Cereal &amp; pulse products - Grn</v>
      </c>
    </row>
    <row r="222" spans="1:7">
      <c r="A222" s="5" t="s">
        <v>1674</v>
      </c>
      <c r="B222" s="5" t="s">
        <v>2</v>
      </c>
      <c r="C222" s="5" t="s">
        <v>218</v>
      </c>
      <c r="D222" s="5" t="s">
        <v>2126</v>
      </c>
      <c r="E222" s="5" t="s">
        <v>2100</v>
      </c>
      <c r="F222" s="5" t="s">
        <v>2101</v>
      </c>
      <c r="G222" t="str">
        <f t="shared" si="3"/>
        <v>51005 : Fresh fruits</v>
      </c>
    </row>
    <row r="223" spans="1:7">
      <c r="A223" s="5" t="s">
        <v>1674</v>
      </c>
      <c r="B223" s="5" t="s">
        <v>2</v>
      </c>
      <c r="C223" s="5" t="s">
        <v>101</v>
      </c>
      <c r="D223" s="5" t="s">
        <v>2127</v>
      </c>
      <c r="E223" s="5" t="s">
        <v>2100</v>
      </c>
      <c r="F223" s="5" t="s">
        <v>2101</v>
      </c>
      <c r="G223" t="str">
        <f t="shared" si="3"/>
        <v>51005 : Fresh fruits - Grn</v>
      </c>
    </row>
    <row r="224" spans="1:7">
      <c r="A224" s="5" t="s">
        <v>1674</v>
      </c>
      <c r="B224" s="5" t="s">
        <v>2</v>
      </c>
      <c r="C224" s="5" t="s">
        <v>102</v>
      </c>
      <c r="D224" s="5" t="s">
        <v>2128</v>
      </c>
      <c r="E224" s="5" t="s">
        <v>2100</v>
      </c>
      <c r="F224" s="5" t="s">
        <v>2101</v>
      </c>
      <c r="G224" t="str">
        <f t="shared" si="3"/>
        <v>51005 : Organic fresh fruits</v>
      </c>
    </row>
    <row r="225" spans="1:7">
      <c r="A225" s="5" t="s">
        <v>1674</v>
      </c>
      <c r="B225" s="5" t="s">
        <v>2</v>
      </c>
      <c r="C225" s="5" t="s">
        <v>103</v>
      </c>
      <c r="D225" s="5" t="s">
        <v>2129</v>
      </c>
      <c r="E225" s="5" t="s">
        <v>2100</v>
      </c>
      <c r="F225" s="5" t="s">
        <v>2101</v>
      </c>
      <c r="G225" t="str">
        <f t="shared" si="3"/>
        <v>51005 : Organic fresh fruits - Grn</v>
      </c>
    </row>
    <row r="226" spans="1:7">
      <c r="A226" s="5" t="s">
        <v>1674</v>
      </c>
      <c r="B226" s="5" t="s">
        <v>2</v>
      </c>
      <c r="C226" s="5" t="s">
        <v>219</v>
      </c>
      <c r="D226" s="5" t="s">
        <v>2130</v>
      </c>
      <c r="E226" s="5" t="s">
        <v>2100</v>
      </c>
      <c r="F226" s="5" t="s">
        <v>2101</v>
      </c>
      <c r="G226" t="str">
        <f t="shared" si="3"/>
        <v>51005 : Fresh vegetables</v>
      </c>
    </row>
    <row r="227" spans="1:7">
      <c r="A227" s="5" t="s">
        <v>1674</v>
      </c>
      <c r="B227" s="5" t="s">
        <v>2</v>
      </c>
      <c r="C227" s="5" t="s">
        <v>220</v>
      </c>
      <c r="D227" s="5" t="s">
        <v>2131</v>
      </c>
      <c r="E227" s="5" t="s">
        <v>2100</v>
      </c>
      <c r="F227" s="5" t="s">
        <v>2101</v>
      </c>
      <c r="G227" t="str">
        <f t="shared" si="3"/>
        <v>51005 : Fresh vegetables - Grn</v>
      </c>
    </row>
    <row r="228" spans="1:7">
      <c r="A228" s="5" t="s">
        <v>1674</v>
      </c>
      <c r="B228" s="5" t="s">
        <v>2</v>
      </c>
      <c r="C228" s="5" t="s">
        <v>221</v>
      </c>
      <c r="D228" s="5" t="s">
        <v>2132</v>
      </c>
      <c r="E228" s="5" t="s">
        <v>2100</v>
      </c>
      <c r="F228" s="5" t="s">
        <v>2101</v>
      </c>
      <c r="G228" t="str">
        <f t="shared" si="3"/>
        <v>51005 : Organic fresh vegetables</v>
      </c>
    </row>
    <row r="229" spans="1:7">
      <c r="A229" s="5" t="s">
        <v>1674</v>
      </c>
      <c r="B229" s="5" t="s">
        <v>2</v>
      </c>
      <c r="C229" s="5" t="s">
        <v>222</v>
      </c>
      <c r="D229" s="5" t="s">
        <v>2133</v>
      </c>
      <c r="E229" s="5" t="s">
        <v>2100</v>
      </c>
      <c r="F229" s="5" t="s">
        <v>2101</v>
      </c>
      <c r="G229" t="str">
        <f t="shared" si="3"/>
        <v>51005 : Organic fresh vegetables - Grn</v>
      </c>
    </row>
    <row r="230" spans="1:7">
      <c r="A230" s="5" t="s">
        <v>1674</v>
      </c>
      <c r="B230" s="5" t="s">
        <v>2</v>
      </c>
      <c r="C230" s="5" t="s">
        <v>106</v>
      </c>
      <c r="D230" s="5" t="s">
        <v>106</v>
      </c>
      <c r="E230" s="5" t="s">
        <v>1917</v>
      </c>
      <c r="F230" s="5" t="s">
        <v>1918</v>
      </c>
      <c r="G230" t="str">
        <f t="shared" si="3"/>
        <v>51004 : 5100000000</v>
      </c>
    </row>
    <row r="231" spans="1:7">
      <c r="A231" s="5" t="s">
        <v>1674</v>
      </c>
      <c r="B231" s="5" t="s">
        <v>2</v>
      </c>
      <c r="C231" s="5" t="s">
        <v>104</v>
      </c>
      <c r="D231" s="5" t="s">
        <v>2134</v>
      </c>
      <c r="E231" s="5" t="s">
        <v>1917</v>
      </c>
      <c r="F231" s="5" t="s">
        <v>1918</v>
      </c>
      <c r="G231" t="str">
        <f t="shared" si="3"/>
        <v>51004 : Anti infective drugs</v>
      </c>
    </row>
    <row r="232" spans="1:7">
      <c r="A232" s="5" t="s">
        <v>1674</v>
      </c>
      <c r="B232" s="5" t="s">
        <v>2</v>
      </c>
      <c r="C232" s="5" t="s">
        <v>223</v>
      </c>
      <c r="D232" s="5" t="s">
        <v>2135</v>
      </c>
      <c r="E232" s="5" t="s">
        <v>1917</v>
      </c>
      <c r="F232" s="5" t="s">
        <v>1918</v>
      </c>
      <c r="G232" t="str">
        <f t="shared" si="3"/>
        <v>51004 : Anti infective drugs - Haz</v>
      </c>
    </row>
    <row r="233" spans="1:7">
      <c r="A233" s="5" t="s">
        <v>1674</v>
      </c>
      <c r="B233" s="5" t="s">
        <v>2</v>
      </c>
      <c r="C233" s="5" t="s">
        <v>107</v>
      </c>
      <c r="D233" s="5" t="s">
        <v>2136</v>
      </c>
      <c r="E233" s="5" t="s">
        <v>1917</v>
      </c>
      <c r="F233" s="5" t="s">
        <v>1918</v>
      </c>
      <c r="G233" t="str">
        <f t="shared" si="3"/>
        <v>51004 : Antineoplastic agents</v>
      </c>
    </row>
    <row r="234" spans="1:7">
      <c r="A234" s="5" t="s">
        <v>1674</v>
      </c>
      <c r="B234" s="5" t="s">
        <v>2</v>
      </c>
      <c r="C234" s="5" t="s">
        <v>224</v>
      </c>
      <c r="D234" s="5" t="s">
        <v>2137</v>
      </c>
      <c r="E234" s="5" t="s">
        <v>1917</v>
      </c>
      <c r="F234" s="5" t="s">
        <v>1918</v>
      </c>
      <c r="G234" t="str">
        <f t="shared" si="3"/>
        <v>51004 : Antineoplastic agents - Haz</v>
      </c>
    </row>
    <row r="235" spans="1:7">
      <c r="A235" s="5" t="s">
        <v>1674</v>
      </c>
      <c r="B235" s="5" t="s">
        <v>2</v>
      </c>
      <c r="C235" s="5" t="s">
        <v>108</v>
      </c>
      <c r="D235" s="5" t="s">
        <v>2138</v>
      </c>
      <c r="E235" s="5" t="s">
        <v>1917</v>
      </c>
      <c r="F235" s="5" t="s">
        <v>1918</v>
      </c>
      <c r="G235" t="str">
        <f t="shared" si="3"/>
        <v>51004 : Cardiovascular drugs</v>
      </c>
    </row>
    <row r="236" spans="1:7">
      <c r="A236" s="5" t="s">
        <v>1674</v>
      </c>
      <c r="B236" s="5" t="s">
        <v>2</v>
      </c>
      <c r="C236" s="5" t="s">
        <v>109</v>
      </c>
      <c r="D236" s="5" t="s">
        <v>2139</v>
      </c>
      <c r="E236" s="5" t="s">
        <v>1917</v>
      </c>
      <c r="F236" s="5" t="s">
        <v>1918</v>
      </c>
      <c r="G236" t="str">
        <f t="shared" si="3"/>
        <v>51004 : Cardiovascular drugs - Haz</v>
      </c>
    </row>
    <row r="237" spans="1:7">
      <c r="A237" s="5" t="s">
        <v>1674</v>
      </c>
      <c r="B237" s="5" t="s">
        <v>2</v>
      </c>
      <c r="C237" s="5" t="s">
        <v>110</v>
      </c>
      <c r="D237" s="5" t="s">
        <v>2140</v>
      </c>
      <c r="E237" s="5" t="s">
        <v>1917</v>
      </c>
      <c r="F237" s="5" t="s">
        <v>1918</v>
      </c>
      <c r="G237" t="str">
        <f t="shared" si="3"/>
        <v>51004 : Hematolic drugs</v>
      </c>
    </row>
    <row r="238" spans="1:7">
      <c r="A238" s="5" t="s">
        <v>1674</v>
      </c>
      <c r="B238" s="5" t="s">
        <v>2</v>
      </c>
      <c r="C238" s="5" t="s">
        <v>111</v>
      </c>
      <c r="D238" s="5" t="s">
        <v>2141</v>
      </c>
      <c r="E238" s="5" t="s">
        <v>1917</v>
      </c>
      <c r="F238" s="5" t="s">
        <v>1918</v>
      </c>
      <c r="G238" t="str">
        <f t="shared" si="3"/>
        <v>51004 : Hematolic drugs - Haz</v>
      </c>
    </row>
    <row r="239" spans="1:7">
      <c r="A239" s="5" t="s">
        <v>1674</v>
      </c>
      <c r="B239" s="5" t="s">
        <v>2</v>
      </c>
      <c r="C239" s="5" t="s">
        <v>225</v>
      </c>
      <c r="D239" s="5" t="s">
        <v>2142</v>
      </c>
      <c r="E239" s="5" t="s">
        <v>1917</v>
      </c>
      <c r="F239" s="5" t="s">
        <v>1918</v>
      </c>
      <c r="G239" t="str">
        <f t="shared" si="3"/>
        <v>51004 : Centrl nerve systm drugs</v>
      </c>
    </row>
    <row r="240" spans="1:7">
      <c r="A240" s="5" t="s">
        <v>1674</v>
      </c>
      <c r="B240" s="5" t="s">
        <v>2</v>
      </c>
      <c r="C240" s="5" t="s">
        <v>112</v>
      </c>
      <c r="D240" s="5" t="s">
        <v>2143</v>
      </c>
      <c r="E240" s="5" t="s">
        <v>1917</v>
      </c>
      <c r="F240" s="5" t="s">
        <v>1918</v>
      </c>
      <c r="G240" t="str">
        <f t="shared" si="3"/>
        <v>51004 : Centrl nerve systm drugs - Haz</v>
      </c>
    </row>
    <row r="241" spans="1:7">
      <c r="A241" s="5" t="s">
        <v>1674</v>
      </c>
      <c r="B241" s="5" t="s">
        <v>2</v>
      </c>
      <c r="C241" s="5" t="s">
        <v>113</v>
      </c>
      <c r="D241" s="5" t="s">
        <v>2144</v>
      </c>
      <c r="E241" s="5" t="s">
        <v>1917</v>
      </c>
      <c r="F241" s="5" t="s">
        <v>1918</v>
      </c>
      <c r="G241" t="str">
        <f t="shared" si="3"/>
        <v>51004 : Auto nerve systm drugs</v>
      </c>
    </row>
    <row r="242" spans="1:7">
      <c r="A242" s="5" t="s">
        <v>1674</v>
      </c>
      <c r="B242" s="5" t="s">
        <v>2</v>
      </c>
      <c r="C242" s="5" t="s">
        <v>114</v>
      </c>
      <c r="D242" s="5" t="s">
        <v>2145</v>
      </c>
      <c r="E242" s="5" t="s">
        <v>1917</v>
      </c>
      <c r="F242" s="5" t="s">
        <v>1918</v>
      </c>
      <c r="G242" t="str">
        <f t="shared" si="3"/>
        <v>51004 : Auto nerve systm drugs - Haz</v>
      </c>
    </row>
    <row r="243" spans="1:7">
      <c r="A243" s="5" t="s">
        <v>1674</v>
      </c>
      <c r="B243" s="5" t="s">
        <v>2</v>
      </c>
      <c r="C243" s="5" t="s">
        <v>115</v>
      </c>
      <c r="D243" s="5" t="s">
        <v>2146</v>
      </c>
      <c r="E243" s="5" t="s">
        <v>1917</v>
      </c>
      <c r="F243" s="5" t="s">
        <v>1918</v>
      </c>
      <c r="G243" t="str">
        <f t="shared" si="3"/>
        <v>51004 : Respiratory tract drugs</v>
      </c>
    </row>
    <row r="244" spans="1:7">
      <c r="A244" s="5" t="s">
        <v>1674</v>
      </c>
      <c r="B244" s="5" t="s">
        <v>2</v>
      </c>
      <c r="C244" s="5" t="s">
        <v>226</v>
      </c>
      <c r="D244" s="5" t="s">
        <v>2147</v>
      </c>
      <c r="E244" s="5" t="s">
        <v>1917</v>
      </c>
      <c r="F244" s="5" t="s">
        <v>1918</v>
      </c>
      <c r="G244" t="str">
        <f t="shared" si="3"/>
        <v>51004 : Respiratory tract drugs - Haz</v>
      </c>
    </row>
    <row r="245" spans="1:7">
      <c r="A245" s="5" t="s">
        <v>1674</v>
      </c>
      <c r="B245" s="5" t="s">
        <v>2</v>
      </c>
      <c r="C245" s="5" t="s">
        <v>227</v>
      </c>
      <c r="D245" s="5" t="s">
        <v>2148</v>
      </c>
      <c r="E245" s="5" t="s">
        <v>1917</v>
      </c>
      <c r="F245" s="5" t="s">
        <v>1918</v>
      </c>
      <c r="G245" t="str">
        <f t="shared" si="3"/>
        <v>51004 : Gastrointestinal drugs</v>
      </c>
    </row>
    <row r="246" spans="1:7">
      <c r="A246" s="5" t="s">
        <v>1674</v>
      </c>
      <c r="B246" s="5" t="s">
        <v>2</v>
      </c>
      <c r="C246" s="5" t="s">
        <v>228</v>
      </c>
      <c r="D246" s="5" t="s">
        <v>2149</v>
      </c>
      <c r="E246" s="5" t="s">
        <v>1917</v>
      </c>
      <c r="F246" s="5" t="s">
        <v>1918</v>
      </c>
      <c r="G246" t="str">
        <f t="shared" si="3"/>
        <v>51004 : Gastrointestinal drugs - Haz</v>
      </c>
    </row>
    <row r="247" spans="1:7">
      <c r="A247" s="5" t="s">
        <v>1674</v>
      </c>
      <c r="B247" s="5" t="s">
        <v>2</v>
      </c>
      <c r="C247" s="5" t="s">
        <v>229</v>
      </c>
      <c r="D247" s="5" t="s">
        <v>2150</v>
      </c>
      <c r="E247" s="5" t="s">
        <v>1917</v>
      </c>
      <c r="F247" s="5" t="s">
        <v>1918</v>
      </c>
      <c r="G247" t="str">
        <f t="shared" si="3"/>
        <v>51004 : Hormones</v>
      </c>
    </row>
    <row r="248" spans="1:7">
      <c r="A248" s="5" t="s">
        <v>1674</v>
      </c>
      <c r="B248" s="5" t="s">
        <v>2</v>
      </c>
      <c r="C248" s="5" t="s">
        <v>230</v>
      </c>
      <c r="D248" s="5" t="s">
        <v>2151</v>
      </c>
      <c r="E248" s="5" t="s">
        <v>1917</v>
      </c>
      <c r="F248" s="5" t="s">
        <v>1918</v>
      </c>
      <c r="G248" t="str">
        <f t="shared" si="3"/>
        <v>51004 : Hormones - Haz</v>
      </c>
    </row>
    <row r="249" spans="1:7">
      <c r="A249" s="5" t="s">
        <v>1674</v>
      </c>
      <c r="B249" s="5" t="s">
        <v>2</v>
      </c>
      <c r="C249" s="5" t="s">
        <v>116</v>
      </c>
      <c r="D249" s="5" t="s">
        <v>2152</v>
      </c>
      <c r="E249" s="5" t="s">
        <v>1917</v>
      </c>
      <c r="F249" s="5" t="s">
        <v>1918</v>
      </c>
      <c r="G249" t="str">
        <f t="shared" si="3"/>
        <v>51004 : Electrolytes agents</v>
      </c>
    </row>
    <row r="250" spans="1:7">
      <c r="A250" s="5" t="s">
        <v>1674</v>
      </c>
      <c r="B250" s="5" t="s">
        <v>2</v>
      </c>
      <c r="C250" s="5" t="s">
        <v>117</v>
      </c>
      <c r="D250" s="5" t="s">
        <v>2153</v>
      </c>
      <c r="E250" s="5" t="s">
        <v>1917</v>
      </c>
      <c r="F250" s="5" t="s">
        <v>1918</v>
      </c>
      <c r="G250" t="str">
        <f t="shared" si="3"/>
        <v>51004 : Electrolytes agents - Haz</v>
      </c>
    </row>
    <row r="251" spans="1:7">
      <c r="A251" s="5" t="s">
        <v>1674</v>
      </c>
      <c r="B251" s="5" t="s">
        <v>2</v>
      </c>
      <c r="C251" s="5" t="s">
        <v>118</v>
      </c>
      <c r="D251" s="5" t="s">
        <v>2154</v>
      </c>
      <c r="E251" s="5" t="s">
        <v>1917</v>
      </c>
      <c r="F251" s="5" t="s">
        <v>1918</v>
      </c>
      <c r="G251" t="str">
        <f t="shared" si="3"/>
        <v>51004 : Immunomodulating drugs</v>
      </c>
    </row>
    <row r="252" spans="1:7">
      <c r="A252" s="5" t="s">
        <v>1674</v>
      </c>
      <c r="B252" s="5" t="s">
        <v>2</v>
      </c>
      <c r="C252" s="5" t="s">
        <v>119</v>
      </c>
      <c r="D252" s="5" t="s">
        <v>2155</v>
      </c>
      <c r="E252" s="5" t="s">
        <v>1917</v>
      </c>
      <c r="F252" s="5" t="s">
        <v>1918</v>
      </c>
      <c r="G252" t="str">
        <f t="shared" si="3"/>
        <v>51004 : Immunomodulating drugs - Haz</v>
      </c>
    </row>
    <row r="253" spans="1:7">
      <c r="A253" s="5" t="s">
        <v>1674</v>
      </c>
      <c r="B253" s="5" t="s">
        <v>2</v>
      </c>
      <c r="C253" s="5" t="s">
        <v>120</v>
      </c>
      <c r="D253" s="5" t="s">
        <v>2156</v>
      </c>
      <c r="E253" s="5" t="s">
        <v>1917</v>
      </c>
      <c r="F253" s="5" t="s">
        <v>1918</v>
      </c>
      <c r="G253" t="str">
        <f t="shared" si="3"/>
        <v>51004 : Miscellaneous drug</v>
      </c>
    </row>
    <row r="254" spans="1:7">
      <c r="A254" s="5" t="s">
        <v>1674</v>
      </c>
      <c r="B254" s="5" t="s">
        <v>2</v>
      </c>
      <c r="C254" s="5" t="s">
        <v>121</v>
      </c>
      <c r="D254" s="5" t="s">
        <v>2157</v>
      </c>
      <c r="E254" s="5" t="s">
        <v>1917</v>
      </c>
      <c r="F254" s="5" t="s">
        <v>1918</v>
      </c>
      <c r="G254" t="str">
        <f t="shared" si="3"/>
        <v>51004 : Miscellaneous drug - Haz</v>
      </c>
    </row>
    <row r="255" spans="1:7">
      <c r="A255" s="5" t="s">
        <v>1674</v>
      </c>
      <c r="B255" s="5" t="s">
        <v>2</v>
      </c>
      <c r="C255" s="5" t="s">
        <v>122</v>
      </c>
      <c r="D255" s="5" t="s">
        <v>2158</v>
      </c>
      <c r="E255" s="5" t="s">
        <v>1917</v>
      </c>
      <c r="F255" s="5" t="s">
        <v>1918</v>
      </c>
      <c r="G255" t="str">
        <f t="shared" si="3"/>
        <v>51004 : Drugs for ear, eye, nose</v>
      </c>
    </row>
    <row r="256" spans="1:7">
      <c r="A256" s="5" t="s">
        <v>1674</v>
      </c>
      <c r="B256" s="5" t="s">
        <v>2</v>
      </c>
      <c r="C256" s="5" t="s">
        <v>123</v>
      </c>
      <c r="D256" s="5" t="s">
        <v>2159</v>
      </c>
      <c r="E256" s="5" t="s">
        <v>1917</v>
      </c>
      <c r="F256" s="5" t="s">
        <v>1918</v>
      </c>
      <c r="G256" t="str">
        <f t="shared" si="3"/>
        <v>51004 : Drugs for ear, eye, nose - Haz</v>
      </c>
    </row>
    <row r="257" spans="1:7">
      <c r="A257" s="5" t="s">
        <v>1674</v>
      </c>
      <c r="B257" s="5" t="s">
        <v>2</v>
      </c>
      <c r="C257" s="5" t="s">
        <v>124</v>
      </c>
      <c r="D257" s="5" t="s">
        <v>2160</v>
      </c>
      <c r="E257" s="5" t="s">
        <v>1917</v>
      </c>
      <c r="F257" s="5" t="s">
        <v>1918</v>
      </c>
      <c r="G257" t="str">
        <f t="shared" si="3"/>
        <v>51004 : Veterinary nutrition</v>
      </c>
    </row>
    <row r="258" spans="1:7">
      <c r="A258" s="5" t="s">
        <v>1674</v>
      </c>
      <c r="B258" s="5" t="s">
        <v>2</v>
      </c>
      <c r="C258" s="5" t="s">
        <v>125</v>
      </c>
      <c r="D258" s="5" t="s">
        <v>2161</v>
      </c>
      <c r="E258" s="5" t="s">
        <v>1917</v>
      </c>
      <c r="F258" s="5" t="s">
        <v>1918</v>
      </c>
      <c r="G258" t="str">
        <f t="shared" si="3"/>
        <v>51004 : Veterinary nutrition - Haz</v>
      </c>
    </row>
    <row r="259" spans="1:7">
      <c r="A259" s="5" t="s">
        <v>1674</v>
      </c>
      <c r="B259" s="5" t="s">
        <v>2</v>
      </c>
      <c r="C259" s="5" t="s">
        <v>268</v>
      </c>
      <c r="D259" s="5" t="s">
        <v>268</v>
      </c>
      <c r="E259" s="5" t="s">
        <v>1911</v>
      </c>
      <c r="F259" s="5" t="s">
        <v>1912</v>
      </c>
      <c r="G259" t="str">
        <f t="shared" si="3"/>
        <v>51006 : 5200000000</v>
      </c>
    </row>
    <row r="260" spans="1:7">
      <c r="A260" s="5" t="s">
        <v>1674</v>
      </c>
      <c r="B260" s="5" t="s">
        <v>2</v>
      </c>
      <c r="C260" s="5" t="s">
        <v>267</v>
      </c>
      <c r="D260" s="5" t="s">
        <v>2162</v>
      </c>
      <c r="E260" s="5" t="s">
        <v>1911</v>
      </c>
      <c r="F260" s="5" t="s">
        <v>1912</v>
      </c>
      <c r="G260" t="str">
        <f t="shared" ref="G260:G323" si="4">CONCATENATE(E260, " : ", D260)</f>
        <v>51006 : Floor coverings</v>
      </c>
    </row>
    <row r="261" spans="1:7">
      <c r="A261" s="5" t="s">
        <v>1674</v>
      </c>
      <c r="B261" s="5" t="s">
        <v>2</v>
      </c>
      <c r="C261" s="5" t="s">
        <v>269</v>
      </c>
      <c r="D261" s="5" t="s">
        <v>2163</v>
      </c>
      <c r="E261" s="5" t="s">
        <v>1917</v>
      </c>
      <c r="F261" s="5" t="s">
        <v>1918</v>
      </c>
      <c r="G261" t="str">
        <f t="shared" si="4"/>
        <v>51004 : Bed and kitchen linens</v>
      </c>
    </row>
    <row r="262" spans="1:7">
      <c r="A262" s="5" t="s">
        <v>1674</v>
      </c>
      <c r="B262" s="5" t="s">
        <v>2</v>
      </c>
      <c r="C262" s="5" t="s">
        <v>270</v>
      </c>
      <c r="D262" s="5" t="s">
        <v>2164</v>
      </c>
      <c r="E262" s="5" t="s">
        <v>1917</v>
      </c>
      <c r="F262" s="5" t="s">
        <v>1918</v>
      </c>
      <c r="G262" t="str">
        <f t="shared" si="4"/>
        <v>51004 : Kitchen supplies</v>
      </c>
    </row>
    <row r="263" spans="1:7">
      <c r="A263" s="5" t="s">
        <v>1674</v>
      </c>
      <c r="B263" s="5" t="s">
        <v>2</v>
      </c>
      <c r="C263" s="5" t="s">
        <v>166</v>
      </c>
      <c r="D263" s="5" t="s">
        <v>2165</v>
      </c>
      <c r="E263" s="5" t="s">
        <v>1917</v>
      </c>
      <c r="F263" s="5" t="s">
        <v>1918</v>
      </c>
      <c r="G263" t="str">
        <f t="shared" si="4"/>
        <v>51004 : Kitchen supplies - Grn</v>
      </c>
    </row>
    <row r="264" spans="1:7">
      <c r="A264" s="5" t="s">
        <v>1674</v>
      </c>
      <c r="B264" s="5" t="s">
        <v>2</v>
      </c>
      <c r="C264" s="5" t="s">
        <v>243</v>
      </c>
      <c r="D264" s="5" t="s">
        <v>2166</v>
      </c>
      <c r="E264" s="5" t="s">
        <v>1917</v>
      </c>
      <c r="F264" s="5" t="s">
        <v>1918</v>
      </c>
      <c r="G264" t="str">
        <f t="shared" si="4"/>
        <v>51004 : Domestic wall treatments</v>
      </c>
    </row>
    <row r="265" spans="1:7">
      <c r="A265" s="5" t="s">
        <v>1674</v>
      </c>
      <c r="B265" s="5" t="s">
        <v>2</v>
      </c>
      <c r="C265" s="5" t="s">
        <v>237</v>
      </c>
      <c r="D265" s="5" t="s">
        <v>237</v>
      </c>
      <c r="E265" s="5" t="s">
        <v>1917</v>
      </c>
      <c r="F265" s="5" t="s">
        <v>1918</v>
      </c>
      <c r="G265" t="str">
        <f t="shared" si="4"/>
        <v>51004 : 5300000000</v>
      </c>
    </row>
    <row r="266" spans="1:7">
      <c r="A266" s="5" t="s">
        <v>1674</v>
      </c>
      <c r="B266" s="5" t="s">
        <v>2</v>
      </c>
      <c r="C266" s="5" t="s">
        <v>236</v>
      </c>
      <c r="D266" s="5" t="s">
        <v>2167</v>
      </c>
      <c r="E266" s="5" t="s">
        <v>1917</v>
      </c>
      <c r="F266" s="5" t="s">
        <v>1918</v>
      </c>
      <c r="G266" t="str">
        <f t="shared" si="4"/>
        <v>51004 : Clothing</v>
      </c>
    </row>
    <row r="267" spans="1:7">
      <c r="A267" s="5" t="s">
        <v>1674</v>
      </c>
      <c r="B267" s="5" t="s">
        <v>2</v>
      </c>
      <c r="C267" s="5" t="s">
        <v>238</v>
      </c>
      <c r="D267" s="5" t="s">
        <v>2168</v>
      </c>
      <c r="E267" s="5" t="s">
        <v>1917</v>
      </c>
      <c r="F267" s="5" t="s">
        <v>1918</v>
      </c>
      <c r="G267" t="str">
        <f t="shared" si="4"/>
        <v>51004 : Footwear</v>
      </c>
    </row>
    <row r="268" spans="1:7">
      <c r="A268" s="5" t="s">
        <v>1674</v>
      </c>
      <c r="B268" s="5" t="s">
        <v>2</v>
      </c>
      <c r="C268" s="5" t="s">
        <v>244</v>
      </c>
      <c r="D268" s="5" t="s">
        <v>2169</v>
      </c>
      <c r="E268" s="5" t="s">
        <v>1917</v>
      </c>
      <c r="F268" s="5" t="s">
        <v>1918</v>
      </c>
      <c r="G268" t="str">
        <f t="shared" si="4"/>
        <v>51004 : Luggage &amp; accssrs</v>
      </c>
    </row>
    <row r="269" spans="1:7">
      <c r="A269" s="5" t="s">
        <v>1674</v>
      </c>
      <c r="B269" s="5" t="s">
        <v>2</v>
      </c>
      <c r="C269" s="5" t="s">
        <v>239</v>
      </c>
      <c r="D269" s="5" t="s">
        <v>2170</v>
      </c>
      <c r="E269" s="5" t="s">
        <v>1917</v>
      </c>
      <c r="F269" s="5" t="s">
        <v>1918</v>
      </c>
      <c r="G269" t="str">
        <f t="shared" si="4"/>
        <v>51004 : Personal care products</v>
      </c>
    </row>
    <row r="270" spans="1:7">
      <c r="A270" s="5" t="s">
        <v>1674</v>
      </c>
      <c r="B270" s="5" t="s">
        <v>2</v>
      </c>
      <c r="C270" s="5" t="s">
        <v>245</v>
      </c>
      <c r="D270" s="5" t="s">
        <v>2171</v>
      </c>
      <c r="E270" s="5" t="s">
        <v>1917</v>
      </c>
      <c r="F270" s="5" t="s">
        <v>1918</v>
      </c>
      <c r="G270" t="str">
        <f t="shared" si="4"/>
        <v>51004 : Sewing supplies &amp; accssrs</v>
      </c>
    </row>
    <row r="271" spans="1:7">
      <c r="A271" s="5" t="s">
        <v>1674</v>
      </c>
      <c r="B271" s="5" t="s">
        <v>2</v>
      </c>
      <c r="C271" s="5" t="s">
        <v>247</v>
      </c>
      <c r="D271" s="5" t="s">
        <v>247</v>
      </c>
      <c r="E271" s="5" t="s">
        <v>1917</v>
      </c>
      <c r="F271" s="5" t="s">
        <v>1918</v>
      </c>
      <c r="G271" t="str">
        <f t="shared" si="4"/>
        <v>51004 : 5400000000</v>
      </c>
    </row>
    <row r="272" spans="1:7">
      <c r="A272" s="5" t="s">
        <v>1674</v>
      </c>
      <c r="B272" s="5" t="s">
        <v>2</v>
      </c>
      <c r="C272" s="5" t="s">
        <v>246</v>
      </c>
      <c r="D272" s="5" t="s">
        <v>2172</v>
      </c>
      <c r="E272" s="5" t="s">
        <v>1917</v>
      </c>
      <c r="F272" s="5" t="s">
        <v>1918</v>
      </c>
      <c r="G272" t="str">
        <f t="shared" si="4"/>
        <v>51004 : Jewelry</v>
      </c>
    </row>
    <row r="273" spans="1:7">
      <c r="A273" s="5" t="s">
        <v>1674</v>
      </c>
      <c r="B273" s="5" t="s">
        <v>2</v>
      </c>
      <c r="C273" s="5" t="s">
        <v>248</v>
      </c>
      <c r="D273" s="5" t="s">
        <v>2173</v>
      </c>
      <c r="E273" s="5" t="s">
        <v>1917</v>
      </c>
      <c r="F273" s="5" t="s">
        <v>1918</v>
      </c>
      <c r="G273" t="str">
        <f t="shared" si="4"/>
        <v>51004 : Timepieces</v>
      </c>
    </row>
    <row r="274" spans="1:7">
      <c r="A274" s="5" t="s">
        <v>1674</v>
      </c>
      <c r="B274" s="5" t="s">
        <v>2</v>
      </c>
      <c r="C274" s="5" t="s">
        <v>240</v>
      </c>
      <c r="D274" s="5" t="s">
        <v>2174</v>
      </c>
      <c r="E274" s="5" t="s">
        <v>1917</v>
      </c>
      <c r="F274" s="5" t="s">
        <v>1918</v>
      </c>
      <c r="G274" t="str">
        <f t="shared" si="4"/>
        <v>51004 : Signage &amp; accssrs</v>
      </c>
    </row>
    <row r="275" spans="1:7">
      <c r="A275" s="5" t="s">
        <v>1674</v>
      </c>
      <c r="B275" s="5" t="s">
        <v>2</v>
      </c>
      <c r="C275" s="5" t="s">
        <v>256</v>
      </c>
      <c r="D275" s="5" t="s">
        <v>256</v>
      </c>
      <c r="E275" s="5" t="s">
        <v>1927</v>
      </c>
      <c r="F275" s="5" t="s">
        <v>1928</v>
      </c>
      <c r="G275" t="str">
        <f t="shared" si="4"/>
        <v>51105 : 6000000000</v>
      </c>
    </row>
    <row r="276" spans="1:7">
      <c r="A276" s="5" t="s">
        <v>1674</v>
      </c>
      <c r="B276" s="5" t="s">
        <v>2</v>
      </c>
      <c r="C276" s="5" t="s">
        <v>255</v>
      </c>
      <c r="D276" s="5" t="s">
        <v>2175</v>
      </c>
      <c r="E276" s="5" t="s">
        <v>1927</v>
      </c>
      <c r="F276" s="5" t="s">
        <v>1928</v>
      </c>
      <c r="G276" t="str">
        <f t="shared" si="4"/>
        <v>51105 : Teaching aids</v>
      </c>
    </row>
    <row r="277" spans="1:7">
      <c r="A277" s="5" t="s">
        <v>1674</v>
      </c>
      <c r="B277" s="5" t="s">
        <v>2</v>
      </c>
      <c r="C277" s="5" t="s">
        <v>251</v>
      </c>
      <c r="D277" s="5" t="s">
        <v>2176</v>
      </c>
      <c r="E277" s="5" t="s">
        <v>1927</v>
      </c>
      <c r="F277" s="5" t="s">
        <v>1928</v>
      </c>
      <c r="G277" t="str">
        <f t="shared" si="4"/>
        <v>51105 : Classroom decorations</v>
      </c>
    </row>
    <row r="278" spans="1:7">
      <c r="A278" s="5" t="s">
        <v>1674</v>
      </c>
      <c r="B278" s="5" t="s">
        <v>2</v>
      </c>
      <c r="C278" s="5" t="s">
        <v>252</v>
      </c>
      <c r="D278" s="5" t="s">
        <v>2177</v>
      </c>
      <c r="E278" s="5" t="s">
        <v>1927</v>
      </c>
      <c r="F278" s="5" t="s">
        <v>1928</v>
      </c>
      <c r="G278" t="str">
        <f t="shared" si="4"/>
        <v>51105 : Arts &amp; crafts supplies</v>
      </c>
    </row>
    <row r="279" spans="1:7">
      <c r="A279" s="5" t="s">
        <v>1674</v>
      </c>
      <c r="B279" s="5" t="s">
        <v>2</v>
      </c>
      <c r="C279" s="5" t="s">
        <v>253</v>
      </c>
      <c r="D279" s="5" t="s">
        <v>2178</v>
      </c>
      <c r="E279" s="5" t="s">
        <v>1927</v>
      </c>
      <c r="F279" s="5" t="s">
        <v>1928</v>
      </c>
      <c r="G279" t="str">
        <f t="shared" si="4"/>
        <v>51105 : Arts &amp; crafts supplies - Haz</v>
      </c>
    </row>
    <row r="280" spans="1:7">
      <c r="A280" s="5" t="s">
        <v>1674</v>
      </c>
      <c r="B280" s="5" t="s">
        <v>2</v>
      </c>
      <c r="C280" s="5" t="s">
        <v>254</v>
      </c>
      <c r="D280" s="5" t="s">
        <v>2179</v>
      </c>
      <c r="E280" s="5" t="s">
        <v>1927</v>
      </c>
      <c r="F280" s="5" t="s">
        <v>1928</v>
      </c>
      <c r="G280" t="str">
        <f t="shared" si="4"/>
        <v>51105 : Toys &amp; games</v>
      </c>
    </row>
    <row r="281" spans="1:7">
      <c r="A281" s="5" t="s">
        <v>1674</v>
      </c>
      <c r="B281" s="5" t="s">
        <v>2</v>
      </c>
      <c r="C281" s="5" t="s">
        <v>258</v>
      </c>
      <c r="D281" s="5" t="s">
        <v>258</v>
      </c>
      <c r="E281" s="5" t="s">
        <v>1927</v>
      </c>
      <c r="F281" s="5" t="s">
        <v>1928</v>
      </c>
      <c r="G281" t="str">
        <f t="shared" si="4"/>
        <v>51105 : 7000000000</v>
      </c>
    </row>
    <row r="282" spans="1:7">
      <c r="A282" s="5" t="s">
        <v>1674</v>
      </c>
      <c r="B282" s="5" t="s">
        <v>2</v>
      </c>
      <c r="C282" s="5" t="s">
        <v>257</v>
      </c>
      <c r="D282" s="5" t="s">
        <v>2180</v>
      </c>
      <c r="E282" s="5" t="s">
        <v>1927</v>
      </c>
      <c r="F282" s="5" t="s">
        <v>1928</v>
      </c>
      <c r="G282" t="str">
        <f t="shared" si="4"/>
        <v>51105 : Fisheries &amp; aquaculture</v>
      </c>
    </row>
    <row r="283" spans="1:7">
      <c r="A283" s="5" t="s">
        <v>1674</v>
      </c>
      <c r="B283" s="5" t="s">
        <v>2</v>
      </c>
      <c r="C283" s="5" t="s">
        <v>276</v>
      </c>
      <c r="D283" s="5" t="s">
        <v>2181</v>
      </c>
      <c r="E283" s="5" t="s">
        <v>2074</v>
      </c>
      <c r="F283" s="5" t="s">
        <v>1918</v>
      </c>
      <c r="G283" t="str">
        <f t="shared" si="4"/>
        <v>51001 : TRAVEL CARD Office supplies</v>
      </c>
    </row>
    <row r="284" spans="1:7">
      <c r="A284" s="5" t="s">
        <v>1674</v>
      </c>
      <c r="B284" s="5" t="s">
        <v>2</v>
      </c>
      <c r="C284" s="5" t="s">
        <v>305</v>
      </c>
      <c r="D284" s="5" t="s">
        <v>305</v>
      </c>
      <c r="E284" s="5" t="s">
        <v>1917</v>
      </c>
      <c r="F284" s="5" t="s">
        <v>1918</v>
      </c>
      <c r="G284" t="str">
        <f t="shared" si="4"/>
        <v>51004 : 9900000000</v>
      </c>
    </row>
    <row r="285" spans="1:7">
      <c r="A285" s="5" t="s">
        <v>1674</v>
      </c>
      <c r="B285" s="5" t="s">
        <v>2</v>
      </c>
      <c r="C285" s="5" t="s">
        <v>306</v>
      </c>
      <c r="D285" s="5" t="s">
        <v>306</v>
      </c>
      <c r="E285" s="5" t="s">
        <v>1917</v>
      </c>
      <c r="F285" s="5" t="s">
        <v>1918</v>
      </c>
      <c r="G285" t="str">
        <f t="shared" si="4"/>
        <v>51004 : 9999000000</v>
      </c>
    </row>
    <row r="286" spans="1:7">
      <c r="A286" s="5" t="s">
        <v>1674</v>
      </c>
      <c r="B286" s="5" t="s">
        <v>2</v>
      </c>
      <c r="C286" s="5" t="s">
        <v>307</v>
      </c>
      <c r="D286" s="5" t="s">
        <v>2182</v>
      </c>
      <c r="E286" s="5" t="s">
        <v>1917</v>
      </c>
      <c r="F286" s="5" t="s">
        <v>1918</v>
      </c>
      <c r="G286" t="str">
        <f t="shared" si="4"/>
        <v>51004 : P-CARD Supplies B&amp;G</v>
      </c>
    </row>
    <row r="287" spans="1:7">
      <c r="A287" s="5" t="s">
        <v>1674</v>
      </c>
      <c r="B287" s="5" t="s">
        <v>2</v>
      </c>
      <c r="C287" s="5" t="s">
        <v>274</v>
      </c>
      <c r="D287" s="5" t="s">
        <v>2183</v>
      </c>
      <c r="E287" s="5" t="s">
        <v>1927</v>
      </c>
      <c r="F287" s="5" t="s">
        <v>1928</v>
      </c>
      <c r="G287" t="str">
        <f t="shared" si="4"/>
        <v>51105 : P-CARD Classroom Supplies</v>
      </c>
    </row>
    <row r="288" spans="1:7">
      <c r="A288" s="5" t="s">
        <v>1674</v>
      </c>
      <c r="B288" s="5" t="s">
        <v>2</v>
      </c>
      <c r="C288" s="5" t="s">
        <v>277</v>
      </c>
      <c r="D288" s="5" t="s">
        <v>2184</v>
      </c>
      <c r="E288" s="5" t="s">
        <v>2070</v>
      </c>
      <c r="F288" s="5" t="s">
        <v>2071</v>
      </c>
      <c r="G288" t="str">
        <f t="shared" si="4"/>
        <v>51003 : P-CARD Technology/Electronics</v>
      </c>
    </row>
    <row r="289" spans="1:7">
      <c r="A289" s="5" t="s">
        <v>1674</v>
      </c>
      <c r="B289" s="5" t="s">
        <v>2</v>
      </c>
      <c r="C289" s="5" t="s">
        <v>308</v>
      </c>
      <c r="D289" s="5" t="s">
        <v>2185</v>
      </c>
      <c r="E289" s="5" t="s">
        <v>2074</v>
      </c>
      <c r="F289" s="5" t="s">
        <v>1918</v>
      </c>
      <c r="G289" t="str">
        <f t="shared" si="4"/>
        <v>51001 : P-CARD Office Supplies</v>
      </c>
    </row>
    <row r="290" spans="1:7">
      <c r="A290" s="5" t="s">
        <v>1674</v>
      </c>
      <c r="B290" s="5" t="s">
        <v>2</v>
      </c>
      <c r="C290" s="5" t="s">
        <v>300</v>
      </c>
      <c r="D290" s="5" t="s">
        <v>2186</v>
      </c>
      <c r="E290" s="5" t="s">
        <v>2074</v>
      </c>
      <c r="F290" s="5" t="s">
        <v>1918</v>
      </c>
      <c r="G290" t="str">
        <f t="shared" si="4"/>
        <v>51001 : All Items</v>
      </c>
    </row>
    <row r="291" spans="1:7">
      <c r="A291" s="5" t="s">
        <v>1674</v>
      </c>
      <c r="B291" s="5" t="s">
        <v>2</v>
      </c>
      <c r="C291" s="5" t="s">
        <v>250</v>
      </c>
      <c r="D291" s="5" t="s">
        <v>250</v>
      </c>
      <c r="E291" s="5" t="s">
        <v>1683</v>
      </c>
      <c r="F291" s="5" t="s">
        <v>2187</v>
      </c>
      <c r="G291" t="str">
        <f t="shared" si="4"/>
        <v>51401 : 5500000000</v>
      </c>
    </row>
    <row r="292" spans="1:7">
      <c r="A292" s="5" t="s">
        <v>1674</v>
      </c>
      <c r="B292" s="5" t="s">
        <v>2</v>
      </c>
      <c r="C292" s="5" t="s">
        <v>249</v>
      </c>
      <c r="D292" s="5" t="s">
        <v>2188</v>
      </c>
      <c r="E292" s="5" t="s">
        <v>1683</v>
      </c>
      <c r="F292" s="5" t="s">
        <v>2187</v>
      </c>
      <c r="G292" t="str">
        <f t="shared" si="4"/>
        <v>51401 : Printed media</v>
      </c>
    </row>
    <row r="293" spans="1:7">
      <c r="A293" s="5" t="s">
        <v>1674</v>
      </c>
      <c r="B293" s="5" t="s">
        <v>2</v>
      </c>
      <c r="C293" s="5" t="s">
        <v>272</v>
      </c>
      <c r="D293" s="5" t="s">
        <v>272</v>
      </c>
      <c r="E293" s="5" t="s">
        <v>1683</v>
      </c>
      <c r="F293" s="5" t="s">
        <v>2187</v>
      </c>
      <c r="G293" t="str">
        <f t="shared" si="4"/>
        <v>51401 : 5510150000</v>
      </c>
    </row>
    <row r="294" spans="1:7">
      <c r="A294" s="5" t="s">
        <v>1674</v>
      </c>
      <c r="B294" s="5" t="s">
        <v>2</v>
      </c>
      <c r="C294" s="5" t="s">
        <v>271</v>
      </c>
      <c r="D294" s="5" t="s">
        <v>2189</v>
      </c>
      <c r="E294" s="5" t="s">
        <v>1683</v>
      </c>
      <c r="F294" s="5" t="s">
        <v>2187</v>
      </c>
      <c r="G294" t="str">
        <f t="shared" si="4"/>
        <v>51401 : Text Books</v>
      </c>
    </row>
    <row r="295" spans="1:7">
      <c r="A295" s="5" t="s">
        <v>1674</v>
      </c>
      <c r="B295" s="5" t="s">
        <v>2</v>
      </c>
      <c r="C295" s="5" t="s">
        <v>275</v>
      </c>
      <c r="D295" s="5" t="s">
        <v>2190</v>
      </c>
      <c r="E295" s="5" t="s">
        <v>1683</v>
      </c>
      <c r="F295" s="5" t="s">
        <v>2187</v>
      </c>
      <c r="G295" t="str">
        <f t="shared" si="4"/>
        <v>51401 : P-CARD Books</v>
      </c>
    </row>
    <row r="296" spans="1:7">
      <c r="A296" s="5" t="s">
        <v>1674</v>
      </c>
      <c r="B296" s="5" t="s">
        <v>2</v>
      </c>
      <c r="C296" s="5" t="s">
        <v>242</v>
      </c>
      <c r="D296" s="5" t="s">
        <v>242</v>
      </c>
      <c r="E296" s="5" t="s">
        <v>1687</v>
      </c>
      <c r="F296" s="5" t="s">
        <v>2191</v>
      </c>
      <c r="G296" t="str">
        <f t="shared" si="4"/>
        <v>52805 : 9000000000</v>
      </c>
    </row>
    <row r="297" spans="1:7">
      <c r="A297" s="5" t="s">
        <v>1674</v>
      </c>
      <c r="B297" s="5" t="s">
        <v>2</v>
      </c>
      <c r="C297" s="5" t="s">
        <v>241</v>
      </c>
      <c r="D297" s="5" t="s">
        <v>2192</v>
      </c>
      <c r="E297" s="5" t="s">
        <v>1687</v>
      </c>
      <c r="F297" s="5" t="s">
        <v>2191</v>
      </c>
      <c r="G297" t="str">
        <f t="shared" si="4"/>
        <v>52805 : Restaurants &amp; catering</v>
      </c>
    </row>
    <row r="298" spans="1:7">
      <c r="A298" s="5" t="s">
        <v>1674</v>
      </c>
      <c r="B298" s="5" t="s">
        <v>2</v>
      </c>
      <c r="C298" s="5" t="s">
        <v>105</v>
      </c>
      <c r="D298" s="5" t="s">
        <v>2193</v>
      </c>
      <c r="E298" s="5" t="s">
        <v>1695</v>
      </c>
      <c r="F298" s="5" t="s">
        <v>2194</v>
      </c>
      <c r="G298" t="str">
        <f t="shared" si="4"/>
        <v>53151 : Trnsprtn parts &amp; syst</v>
      </c>
    </row>
    <row r="299" spans="1:7">
      <c r="A299" s="5" t="s">
        <v>1674</v>
      </c>
      <c r="B299" s="5" t="s">
        <v>2</v>
      </c>
      <c r="C299" s="5" t="s">
        <v>126</v>
      </c>
      <c r="D299" s="5" t="s">
        <v>2195</v>
      </c>
      <c r="E299" s="5" t="s">
        <v>1695</v>
      </c>
      <c r="F299" s="5" t="s">
        <v>2194</v>
      </c>
      <c r="G299" t="str">
        <f t="shared" si="4"/>
        <v>53151 : Trnsprtn parts &amp; syst - Haz</v>
      </c>
    </row>
    <row r="300" spans="1:7">
      <c r="A300" s="5" t="s">
        <v>1674</v>
      </c>
      <c r="B300" s="5" t="s">
        <v>2</v>
      </c>
      <c r="C300" s="5" t="s">
        <v>15</v>
      </c>
      <c r="D300" s="5" t="s">
        <v>15</v>
      </c>
      <c r="E300" s="5" t="s">
        <v>1695</v>
      </c>
      <c r="F300" s="5" t="s">
        <v>2194</v>
      </c>
      <c r="G300" t="str">
        <f t="shared" si="4"/>
        <v>53151 : 2600000000</v>
      </c>
    </row>
    <row r="301" spans="1:7">
      <c r="A301" s="5" t="s">
        <v>1674</v>
      </c>
      <c r="B301" s="5" t="s">
        <v>2</v>
      </c>
      <c r="C301" s="5" t="s">
        <v>127</v>
      </c>
      <c r="D301" s="5" t="s">
        <v>2196</v>
      </c>
      <c r="E301" s="5" t="s">
        <v>1695</v>
      </c>
      <c r="F301" s="5" t="s">
        <v>2194</v>
      </c>
      <c r="G301" t="str">
        <f t="shared" si="4"/>
        <v>53151 : Power sources</v>
      </c>
    </row>
    <row r="302" spans="1:7">
      <c r="A302" s="5" t="s">
        <v>1674</v>
      </c>
      <c r="B302" s="5" t="s">
        <v>2</v>
      </c>
      <c r="C302" s="5" t="s">
        <v>128</v>
      </c>
      <c r="D302" s="5" t="s">
        <v>2197</v>
      </c>
      <c r="E302" s="5" t="s">
        <v>1695</v>
      </c>
      <c r="F302" s="5" t="s">
        <v>2194</v>
      </c>
      <c r="G302" t="str">
        <f t="shared" si="4"/>
        <v>53151 : Power sources - Haz</v>
      </c>
    </row>
    <row r="303" spans="1:7">
      <c r="A303" s="5" t="s">
        <v>1674</v>
      </c>
      <c r="B303" s="5" t="s">
        <v>2</v>
      </c>
      <c r="C303" s="5" t="s">
        <v>129</v>
      </c>
      <c r="D303" s="5" t="s">
        <v>2198</v>
      </c>
      <c r="E303" s="5" t="s">
        <v>1695</v>
      </c>
      <c r="F303" s="5" t="s">
        <v>2194</v>
      </c>
      <c r="G303" t="str">
        <f t="shared" si="4"/>
        <v>53151 : Power sources - Grn</v>
      </c>
    </row>
    <row r="304" spans="1:7">
      <c r="A304" s="5" t="s">
        <v>1674</v>
      </c>
      <c r="B304" s="5" t="s">
        <v>2</v>
      </c>
      <c r="C304" s="5" t="s">
        <v>130</v>
      </c>
      <c r="D304" s="5" t="s">
        <v>2199</v>
      </c>
      <c r="E304" s="5" t="s">
        <v>1695</v>
      </c>
      <c r="F304" s="5" t="s">
        <v>2194</v>
      </c>
      <c r="G304" t="str">
        <f t="shared" si="4"/>
        <v>53151 : Batteries &amp; generators</v>
      </c>
    </row>
    <row r="305" spans="1:7">
      <c r="A305" s="5" t="s">
        <v>1674</v>
      </c>
      <c r="B305" s="5" t="s">
        <v>2</v>
      </c>
      <c r="C305" s="5" t="s">
        <v>131</v>
      </c>
      <c r="D305" s="5" t="s">
        <v>2200</v>
      </c>
      <c r="E305" s="5" t="s">
        <v>1695</v>
      </c>
      <c r="F305" s="5" t="s">
        <v>2194</v>
      </c>
      <c r="G305" t="str">
        <f t="shared" si="4"/>
        <v>53151 : Batteries &amp; generators - Haz</v>
      </c>
    </row>
    <row r="306" spans="1:7">
      <c r="A306" s="5" t="s">
        <v>1674</v>
      </c>
      <c r="B306" s="5" t="s">
        <v>2</v>
      </c>
      <c r="C306" s="5" t="s">
        <v>132</v>
      </c>
      <c r="D306" s="5" t="s">
        <v>2201</v>
      </c>
      <c r="E306" s="5" t="s">
        <v>1695</v>
      </c>
      <c r="F306" s="5" t="s">
        <v>2194</v>
      </c>
      <c r="G306" t="str">
        <f t="shared" si="4"/>
        <v>53151 : Batteries &amp; generators - Grn</v>
      </c>
    </row>
    <row r="307" spans="1:7">
      <c r="A307" s="5" t="s">
        <v>1674</v>
      </c>
      <c r="B307" s="5" t="s">
        <v>2</v>
      </c>
      <c r="C307" s="5" t="s">
        <v>199</v>
      </c>
      <c r="D307" s="5" t="s">
        <v>199</v>
      </c>
      <c r="E307" s="5" t="s">
        <v>1711</v>
      </c>
      <c r="F307" s="5" t="s">
        <v>2090</v>
      </c>
      <c r="G307" t="str">
        <f t="shared" si="4"/>
        <v>53805 : 4900000000</v>
      </c>
    </row>
    <row r="308" spans="1:7">
      <c r="A308" s="5" t="s">
        <v>1674</v>
      </c>
      <c r="B308" s="5" t="s">
        <v>2</v>
      </c>
      <c r="C308" s="5" t="s">
        <v>198</v>
      </c>
      <c r="D308" s="5" t="s">
        <v>2202</v>
      </c>
      <c r="E308" s="5" t="s">
        <v>1711</v>
      </c>
      <c r="F308" s="5" t="s">
        <v>2090</v>
      </c>
      <c r="G308" t="str">
        <f t="shared" si="4"/>
        <v>53805 : Collectibles &amp; awards</v>
      </c>
    </row>
    <row r="309" spans="1:7">
      <c r="A309" s="5" t="s">
        <v>1864</v>
      </c>
      <c r="B309" s="5" t="s">
        <v>309</v>
      </c>
      <c r="C309" s="5" t="s">
        <v>311</v>
      </c>
      <c r="D309" s="5" t="s">
        <v>2203</v>
      </c>
      <c r="E309" s="5" t="s">
        <v>2204</v>
      </c>
      <c r="F309" s="5" t="s">
        <v>2205</v>
      </c>
      <c r="G309" t="str">
        <f t="shared" si="4"/>
        <v>52002 : Passenger transport</v>
      </c>
    </row>
    <row r="310" spans="1:7">
      <c r="A310" s="5" t="s">
        <v>1864</v>
      </c>
      <c r="B310" s="5" t="s">
        <v>309</v>
      </c>
      <c r="C310" s="5" t="s">
        <v>319</v>
      </c>
      <c r="D310" s="5" t="s">
        <v>319</v>
      </c>
      <c r="E310" s="5" t="s">
        <v>2206</v>
      </c>
      <c r="F310" s="5" t="s">
        <v>1853</v>
      </c>
      <c r="G310" t="str">
        <f t="shared" si="4"/>
        <v>52201 : 8800000000</v>
      </c>
    </row>
    <row r="311" spans="1:7">
      <c r="A311" s="5" t="s">
        <v>1864</v>
      </c>
      <c r="B311" s="5" t="s">
        <v>309</v>
      </c>
      <c r="C311" s="5" t="s">
        <v>320</v>
      </c>
      <c r="D311" s="5" t="s">
        <v>320</v>
      </c>
      <c r="E311" s="5" t="s">
        <v>2206</v>
      </c>
      <c r="F311" s="5" t="s">
        <v>1853</v>
      </c>
      <c r="G311" t="str">
        <f t="shared" si="4"/>
        <v>52201 : 8888000000</v>
      </c>
    </row>
    <row r="312" spans="1:7">
      <c r="A312" s="5" t="s">
        <v>1864</v>
      </c>
      <c r="B312" s="5" t="s">
        <v>309</v>
      </c>
      <c r="C312" s="5" t="s">
        <v>315</v>
      </c>
      <c r="D312" s="5" t="s">
        <v>2207</v>
      </c>
      <c r="E312" s="5" t="s">
        <v>2206</v>
      </c>
      <c r="F312" s="5" t="s">
        <v>1853</v>
      </c>
      <c r="G312" t="str">
        <f t="shared" si="4"/>
        <v>52201 : TRAVEL CARD Out of town Airfar</v>
      </c>
    </row>
    <row r="313" spans="1:7">
      <c r="A313" s="5" t="s">
        <v>1864</v>
      </c>
      <c r="B313" s="5" t="s">
        <v>309</v>
      </c>
      <c r="C313" s="5" t="s">
        <v>321</v>
      </c>
      <c r="D313" s="5" t="s">
        <v>2208</v>
      </c>
      <c r="E313" s="5" t="s">
        <v>2209</v>
      </c>
      <c r="F313" s="5" t="s">
        <v>2210</v>
      </c>
      <c r="G313" t="str">
        <f t="shared" si="4"/>
        <v>52202 : TRAVEL CARD Out of town Auto R</v>
      </c>
    </row>
    <row r="314" spans="1:7">
      <c r="A314" s="5" t="s">
        <v>1864</v>
      </c>
      <c r="B314" s="5" t="s">
        <v>309</v>
      </c>
      <c r="C314" s="5" t="s">
        <v>322</v>
      </c>
      <c r="D314" s="5" t="s">
        <v>2211</v>
      </c>
      <c r="E314" s="5" t="s">
        <v>2212</v>
      </c>
      <c r="F314" s="5" t="s">
        <v>2213</v>
      </c>
      <c r="G314" t="str">
        <f t="shared" si="4"/>
        <v>52203 : TRAVEL CARD Out of Town Lodgin</v>
      </c>
    </row>
    <row r="315" spans="1:7">
      <c r="A315" s="5" t="s">
        <v>1864</v>
      </c>
      <c r="B315" s="5" t="s">
        <v>309</v>
      </c>
      <c r="C315" s="5" t="s">
        <v>313</v>
      </c>
      <c r="D315" s="5" t="s">
        <v>2214</v>
      </c>
      <c r="E315" s="5" t="s">
        <v>2215</v>
      </c>
      <c r="F315" s="5" t="s">
        <v>2205</v>
      </c>
      <c r="G315" t="str">
        <f t="shared" si="4"/>
        <v>52204 : TRAVEL CARD O of T Ground Tran</v>
      </c>
    </row>
    <row r="316" spans="1:7">
      <c r="A316" s="5" t="s">
        <v>1864</v>
      </c>
      <c r="B316" s="5" t="s">
        <v>309</v>
      </c>
      <c r="C316" s="5" t="s">
        <v>324</v>
      </c>
      <c r="D316" s="5" t="s">
        <v>2216</v>
      </c>
      <c r="E316" s="5" t="s">
        <v>2217</v>
      </c>
      <c r="F316" s="5" t="s">
        <v>1853</v>
      </c>
      <c r="G316" t="str">
        <f t="shared" si="4"/>
        <v>52251 : TRAVEL CARD Airfare non PSC</v>
      </c>
    </row>
    <row r="317" spans="1:7">
      <c r="A317" s="5" t="s">
        <v>1864</v>
      </c>
      <c r="B317" s="5" t="s">
        <v>309</v>
      </c>
      <c r="C317" s="5" t="s">
        <v>314</v>
      </c>
      <c r="D317" s="5" t="s">
        <v>2218</v>
      </c>
      <c r="E317" s="5" t="s">
        <v>2219</v>
      </c>
      <c r="F317" s="5" t="s">
        <v>2210</v>
      </c>
      <c r="G317" t="str">
        <f t="shared" si="4"/>
        <v>52252 : TRAVEL CARD Auto Rep non PSC</v>
      </c>
    </row>
    <row r="318" spans="1:7">
      <c r="A318" s="5" t="s">
        <v>1864</v>
      </c>
      <c r="B318" s="5" t="s">
        <v>309</v>
      </c>
      <c r="C318" s="5" t="s">
        <v>318</v>
      </c>
      <c r="D318" s="5" t="s">
        <v>2220</v>
      </c>
      <c r="E318" s="5" t="s">
        <v>2221</v>
      </c>
      <c r="F318" s="5" t="s">
        <v>2213</v>
      </c>
      <c r="G318" t="str">
        <f t="shared" si="4"/>
        <v>52253 : TRAVEL CARD Lodging non PSC</v>
      </c>
    </row>
    <row r="319" spans="1:7">
      <c r="A319" s="5" t="s">
        <v>1864</v>
      </c>
      <c r="B319" s="5" t="s">
        <v>309</v>
      </c>
      <c r="C319" s="5" t="s">
        <v>316</v>
      </c>
      <c r="D319" s="5" t="s">
        <v>2222</v>
      </c>
      <c r="E319" s="5" t="s">
        <v>2223</v>
      </c>
      <c r="F319" s="5" t="s">
        <v>2205</v>
      </c>
      <c r="G319" t="str">
        <f t="shared" si="4"/>
        <v>52254 : TRAVEL CARD Ground tra non PSC</v>
      </c>
    </row>
    <row r="320" spans="1:7">
      <c r="A320" s="5" t="s">
        <v>1864</v>
      </c>
      <c r="B320" s="5" t="s">
        <v>309</v>
      </c>
      <c r="C320" s="5" t="s">
        <v>310</v>
      </c>
      <c r="D320" s="5" t="s">
        <v>2224</v>
      </c>
      <c r="E320" s="5" t="s">
        <v>2221</v>
      </c>
      <c r="F320" s="5" t="s">
        <v>2213</v>
      </c>
      <c r="G320" t="str">
        <f t="shared" si="4"/>
        <v>52253 : Hotels &amp; lodging</v>
      </c>
    </row>
    <row r="321" spans="1:7">
      <c r="A321" s="5" t="s">
        <v>1864</v>
      </c>
      <c r="B321" s="5" t="s">
        <v>309</v>
      </c>
      <c r="C321" s="5" t="s">
        <v>323</v>
      </c>
      <c r="D321" s="5" t="s">
        <v>2225</v>
      </c>
      <c r="E321" s="5" t="s">
        <v>1867</v>
      </c>
      <c r="F321" s="5" t="s">
        <v>2226</v>
      </c>
      <c r="G321" t="str">
        <f t="shared" si="4"/>
        <v>52352 : TRAVEL CARD Conference Registr</v>
      </c>
    </row>
    <row r="322" spans="1:7">
      <c r="A322" s="5" t="s">
        <v>1864</v>
      </c>
      <c r="B322" s="5" t="s">
        <v>309</v>
      </c>
      <c r="C322" s="5" t="s">
        <v>312</v>
      </c>
      <c r="D322" s="5" t="s">
        <v>2227</v>
      </c>
      <c r="E322" s="5" t="s">
        <v>1867</v>
      </c>
      <c r="F322" s="5" t="s">
        <v>2226</v>
      </c>
      <c r="G322" t="str">
        <f t="shared" si="4"/>
        <v>52352 : Travel facilitation</v>
      </c>
    </row>
    <row r="323" spans="1:7">
      <c r="A323" s="5" t="s">
        <v>1864</v>
      </c>
      <c r="B323" s="5" t="s">
        <v>309</v>
      </c>
      <c r="C323" s="5" t="s">
        <v>317</v>
      </c>
      <c r="D323" s="5" t="s">
        <v>2228</v>
      </c>
      <c r="E323" s="5" t="s">
        <v>1867</v>
      </c>
      <c r="F323" s="5" t="s">
        <v>2226</v>
      </c>
      <c r="G323" t="str">
        <f t="shared" si="4"/>
        <v>52352 : P-CARD Conference Registration</v>
      </c>
    </row>
    <row r="324" spans="1:7">
      <c r="A324" s="5" t="s">
        <v>1715</v>
      </c>
      <c r="B324" s="5" t="s">
        <v>325</v>
      </c>
      <c r="C324" s="5" t="s">
        <v>483</v>
      </c>
      <c r="D324" s="5" t="s">
        <v>2229</v>
      </c>
      <c r="E324" s="5" t="s">
        <v>1718</v>
      </c>
      <c r="F324" s="5" t="s">
        <v>2230</v>
      </c>
      <c r="G324" t="str">
        <f t="shared" ref="G324:G387" si="5">CONCATENATE(E324, " : ", D324)</f>
        <v>51201 : TRAVEL CARD Copying/Repro serv</v>
      </c>
    </row>
    <row r="325" spans="1:7">
      <c r="A325" s="5" t="s">
        <v>1715</v>
      </c>
      <c r="B325" s="5" t="s">
        <v>325</v>
      </c>
      <c r="C325" s="5" t="s">
        <v>467</v>
      </c>
      <c r="D325" s="5" t="s">
        <v>2231</v>
      </c>
      <c r="E325" s="5" t="s">
        <v>1720</v>
      </c>
      <c r="F325" s="5" t="s">
        <v>2232</v>
      </c>
      <c r="G325" t="str">
        <f t="shared" si="5"/>
        <v>51203 : Printing svcs</v>
      </c>
    </row>
    <row r="326" spans="1:7">
      <c r="A326" s="5" t="s">
        <v>1715</v>
      </c>
      <c r="B326" s="5" t="s">
        <v>325</v>
      </c>
      <c r="C326" s="5" t="s">
        <v>468</v>
      </c>
      <c r="D326" s="5" t="s">
        <v>2233</v>
      </c>
      <c r="E326" s="5" t="s">
        <v>1720</v>
      </c>
      <c r="F326" s="5" t="s">
        <v>2232</v>
      </c>
      <c r="G326" t="str">
        <f t="shared" si="5"/>
        <v>51203 : Printing svcs - Grn</v>
      </c>
    </row>
    <row r="327" spans="1:7">
      <c r="A327" s="5" t="s">
        <v>1715</v>
      </c>
      <c r="B327" s="5" t="s">
        <v>325</v>
      </c>
      <c r="C327" s="5" t="s">
        <v>346</v>
      </c>
      <c r="D327" s="5" t="s">
        <v>2234</v>
      </c>
      <c r="E327" s="5" t="s">
        <v>1720</v>
      </c>
      <c r="F327" s="5" t="s">
        <v>2232</v>
      </c>
      <c r="G327" t="str">
        <f t="shared" si="5"/>
        <v>51203 : Reprodn svcs</v>
      </c>
    </row>
    <row r="328" spans="1:7">
      <c r="A328" s="5" t="s">
        <v>1715</v>
      </c>
      <c r="B328" s="5" t="s">
        <v>325</v>
      </c>
      <c r="C328" s="5" t="s">
        <v>347</v>
      </c>
      <c r="D328" s="5" t="s">
        <v>2235</v>
      </c>
      <c r="E328" s="5" t="s">
        <v>1720</v>
      </c>
      <c r="F328" s="5" t="s">
        <v>2232</v>
      </c>
      <c r="G328" t="str">
        <f t="shared" si="5"/>
        <v>51203 : Photographic svcs</v>
      </c>
    </row>
    <row r="329" spans="1:7">
      <c r="A329" s="5" t="s">
        <v>1715</v>
      </c>
      <c r="B329" s="5" t="s">
        <v>325</v>
      </c>
      <c r="C329" s="5" t="s">
        <v>485</v>
      </c>
      <c r="D329" s="5" t="s">
        <v>2236</v>
      </c>
      <c r="E329" s="5" t="s">
        <v>1720</v>
      </c>
      <c r="F329" s="5" t="s">
        <v>2232</v>
      </c>
      <c r="G329" t="str">
        <f t="shared" si="5"/>
        <v>51203 : Graphic design</v>
      </c>
    </row>
    <row r="330" spans="1:7">
      <c r="A330" s="5" t="s">
        <v>1715</v>
      </c>
      <c r="B330" s="5" t="s">
        <v>325</v>
      </c>
      <c r="C330" s="5" t="s">
        <v>493</v>
      </c>
      <c r="D330" s="5" t="s">
        <v>493</v>
      </c>
      <c r="E330" s="5" t="s">
        <v>1722</v>
      </c>
      <c r="F330" s="5" t="s">
        <v>2237</v>
      </c>
      <c r="G330" t="str">
        <f t="shared" si="5"/>
        <v>51301 : 4412150000</v>
      </c>
    </row>
    <row r="331" spans="1:7">
      <c r="A331" s="5" t="s">
        <v>1715</v>
      </c>
      <c r="B331" s="5" t="s">
        <v>325</v>
      </c>
      <c r="C331" s="5" t="s">
        <v>484</v>
      </c>
      <c r="D331" s="5" t="s">
        <v>1723</v>
      </c>
      <c r="E331" s="5" t="s">
        <v>1722</v>
      </c>
      <c r="F331" s="5" t="s">
        <v>2237</v>
      </c>
      <c r="G331" t="str">
        <f t="shared" si="5"/>
        <v>51301 : Postage</v>
      </c>
    </row>
    <row r="332" spans="1:7">
      <c r="A332" s="5" t="s">
        <v>1715</v>
      </c>
      <c r="B332" s="5" t="s">
        <v>325</v>
      </c>
      <c r="C332" s="5" t="s">
        <v>400</v>
      </c>
      <c r="D332" s="5" t="s">
        <v>400</v>
      </c>
      <c r="E332" s="5" t="s">
        <v>1724</v>
      </c>
      <c r="F332" s="5" t="s">
        <v>2238</v>
      </c>
      <c r="G332" t="str">
        <f t="shared" si="5"/>
        <v>51305 : 7800000000</v>
      </c>
    </row>
    <row r="333" spans="1:7">
      <c r="A333" s="5" t="s">
        <v>1715</v>
      </c>
      <c r="B333" s="5" t="s">
        <v>325</v>
      </c>
      <c r="C333" s="5" t="s">
        <v>399</v>
      </c>
      <c r="D333" s="5" t="s">
        <v>2239</v>
      </c>
      <c r="E333" s="5" t="s">
        <v>1724</v>
      </c>
      <c r="F333" s="5" t="s">
        <v>2238</v>
      </c>
      <c r="G333" t="str">
        <f t="shared" si="5"/>
        <v>51305 : Mail &amp; cargo transport</v>
      </c>
    </row>
    <row r="334" spans="1:7">
      <c r="A334" s="5" t="s">
        <v>1715</v>
      </c>
      <c r="B334" s="5" t="s">
        <v>325</v>
      </c>
      <c r="C334" s="5" t="s">
        <v>401</v>
      </c>
      <c r="D334" s="5" t="s">
        <v>2240</v>
      </c>
      <c r="E334" s="5" t="s">
        <v>1724</v>
      </c>
      <c r="F334" s="5" t="s">
        <v>2238</v>
      </c>
      <c r="G334" t="str">
        <f t="shared" si="5"/>
        <v>51305 : Material packing &amp; h&amp;ling</v>
      </c>
    </row>
    <row r="335" spans="1:7">
      <c r="A335" s="5" t="s">
        <v>1715</v>
      </c>
      <c r="B335" s="5" t="s">
        <v>325</v>
      </c>
      <c r="C335" s="5" t="s">
        <v>403</v>
      </c>
      <c r="D335" s="5" t="s">
        <v>2241</v>
      </c>
      <c r="E335" s="5" t="s">
        <v>1724</v>
      </c>
      <c r="F335" s="5" t="s">
        <v>2238</v>
      </c>
      <c r="G335" t="str">
        <f t="shared" si="5"/>
        <v>51305 : Transport operations</v>
      </c>
    </row>
    <row r="336" spans="1:7">
      <c r="A336" s="5" t="s">
        <v>1715</v>
      </c>
      <c r="B336" s="5" t="s">
        <v>325</v>
      </c>
      <c r="C336" s="5" t="s">
        <v>494</v>
      </c>
      <c r="D336" s="5" t="s">
        <v>2242</v>
      </c>
      <c r="E336" s="5" t="s">
        <v>1726</v>
      </c>
      <c r="F336" s="5" t="s">
        <v>2187</v>
      </c>
      <c r="G336" t="str">
        <f t="shared" si="5"/>
        <v>51402 : Subscriptions</v>
      </c>
    </row>
    <row r="337" spans="1:7">
      <c r="A337" s="5" t="s">
        <v>1715</v>
      </c>
      <c r="B337" s="5" t="s">
        <v>325</v>
      </c>
      <c r="C337" s="5" t="s">
        <v>502</v>
      </c>
      <c r="D337" s="5" t="s">
        <v>2243</v>
      </c>
      <c r="E337" s="5" t="s">
        <v>1726</v>
      </c>
      <c r="F337" s="5" t="s">
        <v>2187</v>
      </c>
      <c r="G337" t="str">
        <f t="shared" si="5"/>
        <v>51402 : P-CARD Subscriptions</v>
      </c>
    </row>
    <row r="338" spans="1:7">
      <c r="A338" s="5" t="s">
        <v>1715</v>
      </c>
      <c r="B338" s="5" t="s">
        <v>325</v>
      </c>
      <c r="C338" s="5" t="s">
        <v>2245</v>
      </c>
      <c r="D338" s="5" t="s">
        <v>2246</v>
      </c>
      <c r="E338" s="5" t="s">
        <v>2244</v>
      </c>
      <c r="F338" s="5" t="s">
        <v>2247</v>
      </c>
      <c r="G338" t="str">
        <f t="shared" si="5"/>
        <v>52351 : Professional performers</v>
      </c>
    </row>
    <row r="339" spans="1:7">
      <c r="A339" s="5" t="s">
        <v>1715</v>
      </c>
      <c r="B339" s="5" t="s">
        <v>325</v>
      </c>
      <c r="C339" s="5" t="s">
        <v>2248</v>
      </c>
      <c r="D339" s="5" t="s">
        <v>2249</v>
      </c>
      <c r="E339" s="5" t="s">
        <v>2244</v>
      </c>
      <c r="F339" s="5" t="s">
        <v>2247</v>
      </c>
      <c r="G339" t="str">
        <f t="shared" si="5"/>
        <v>52351 : Performing arts</v>
      </c>
    </row>
    <row r="340" spans="1:7">
      <c r="A340" s="5" t="s">
        <v>1715</v>
      </c>
      <c r="B340" s="5" t="s">
        <v>325</v>
      </c>
      <c r="C340" s="5" t="s">
        <v>2250</v>
      </c>
      <c r="D340" s="5" t="s">
        <v>2251</v>
      </c>
      <c r="E340" s="5" t="s">
        <v>2244</v>
      </c>
      <c r="F340" s="5" t="s">
        <v>2247</v>
      </c>
      <c r="G340" t="str">
        <f t="shared" si="5"/>
        <v>52351 : Commercial sports</v>
      </c>
    </row>
    <row r="341" spans="1:7">
      <c r="A341" s="5" t="s">
        <v>1715</v>
      </c>
      <c r="B341" s="5" t="s">
        <v>325</v>
      </c>
      <c r="C341" s="5" t="s">
        <v>2252</v>
      </c>
      <c r="D341" s="5" t="s">
        <v>2253</v>
      </c>
      <c r="E341" s="5" t="s">
        <v>2244</v>
      </c>
      <c r="F341" s="5" t="s">
        <v>2247</v>
      </c>
      <c r="G341" t="str">
        <f t="shared" si="5"/>
        <v>52351 : Entertainment svcs</v>
      </c>
    </row>
    <row r="342" spans="1:7">
      <c r="A342" s="5" t="s">
        <v>1715</v>
      </c>
      <c r="B342" s="5" t="s">
        <v>325</v>
      </c>
      <c r="C342" s="5" t="s">
        <v>445</v>
      </c>
      <c r="D342" s="5" t="s">
        <v>445</v>
      </c>
      <c r="E342" s="5" t="s">
        <v>1728</v>
      </c>
      <c r="F342" s="5" t="s">
        <v>2254</v>
      </c>
      <c r="G342" t="str">
        <f t="shared" si="5"/>
        <v>52551 : 9400000000</v>
      </c>
    </row>
    <row r="343" spans="1:7">
      <c r="A343" s="5" t="s">
        <v>1715</v>
      </c>
      <c r="B343" s="5" t="s">
        <v>325</v>
      </c>
      <c r="C343" s="5" t="s">
        <v>444</v>
      </c>
      <c r="D343" s="5" t="s">
        <v>2255</v>
      </c>
      <c r="E343" s="5" t="s">
        <v>1728</v>
      </c>
      <c r="F343" s="5" t="s">
        <v>2254</v>
      </c>
      <c r="G343" t="str">
        <f t="shared" si="5"/>
        <v>52551 : Work related orgs</v>
      </c>
    </row>
    <row r="344" spans="1:7">
      <c r="A344" s="5" t="s">
        <v>1715</v>
      </c>
      <c r="B344" s="5" t="s">
        <v>325</v>
      </c>
      <c r="C344" s="5" t="s">
        <v>503</v>
      </c>
      <c r="D344" s="5" t="s">
        <v>2256</v>
      </c>
      <c r="E344" s="5" t="s">
        <v>1728</v>
      </c>
      <c r="F344" s="5" t="s">
        <v>2254</v>
      </c>
      <c r="G344" t="str">
        <f t="shared" si="5"/>
        <v>52551 : P-CARD Memberships</v>
      </c>
    </row>
    <row r="345" spans="1:7">
      <c r="A345" s="5" t="s">
        <v>1715</v>
      </c>
      <c r="B345" s="5" t="s">
        <v>325</v>
      </c>
      <c r="C345" s="5" t="s">
        <v>446</v>
      </c>
      <c r="D345" s="5" t="s">
        <v>2257</v>
      </c>
      <c r="E345" s="5" t="s">
        <v>1730</v>
      </c>
      <c r="F345" s="5" t="s">
        <v>2254</v>
      </c>
      <c r="G345" t="str">
        <f t="shared" si="5"/>
        <v>52576 : Religious orgs</v>
      </c>
    </row>
    <row r="346" spans="1:7">
      <c r="A346" s="5" t="s">
        <v>1715</v>
      </c>
      <c r="B346" s="5" t="s">
        <v>325</v>
      </c>
      <c r="C346" s="5" t="s">
        <v>447</v>
      </c>
      <c r="D346" s="5" t="s">
        <v>2258</v>
      </c>
      <c r="E346" s="5" t="s">
        <v>1730</v>
      </c>
      <c r="F346" s="5" t="s">
        <v>2254</v>
      </c>
      <c r="G346" t="str">
        <f t="shared" si="5"/>
        <v>52576 : Clubs</v>
      </c>
    </row>
    <row r="347" spans="1:7">
      <c r="A347" s="5" t="s">
        <v>1715</v>
      </c>
      <c r="B347" s="5" t="s">
        <v>325</v>
      </c>
      <c r="C347" s="5" t="s">
        <v>486</v>
      </c>
      <c r="D347" s="5" t="s">
        <v>2259</v>
      </c>
      <c r="E347" s="5" t="s">
        <v>1738</v>
      </c>
      <c r="F347" s="5" t="s">
        <v>2260</v>
      </c>
      <c r="G347" t="str">
        <f t="shared" si="5"/>
        <v>52609 : Insurance &amp; retirement svcs</v>
      </c>
    </row>
    <row r="348" spans="1:7">
      <c r="A348" s="5" t="s">
        <v>1715</v>
      </c>
      <c r="B348" s="5" t="s">
        <v>325</v>
      </c>
      <c r="C348" s="5" t="s">
        <v>344</v>
      </c>
      <c r="D348" s="5" t="s">
        <v>344</v>
      </c>
      <c r="E348" s="5" t="s">
        <v>1740</v>
      </c>
      <c r="F348" s="5" t="s">
        <v>2261</v>
      </c>
      <c r="G348" t="str">
        <f t="shared" si="5"/>
        <v>52651 : 8000000000</v>
      </c>
    </row>
    <row r="349" spans="1:7">
      <c r="A349" s="5" t="s">
        <v>1715</v>
      </c>
      <c r="B349" s="5" t="s">
        <v>325</v>
      </c>
      <c r="C349" s="5" t="s">
        <v>482</v>
      </c>
      <c r="D349" s="5" t="s">
        <v>2262</v>
      </c>
      <c r="E349" s="5" t="s">
        <v>1740</v>
      </c>
      <c r="F349" s="5" t="s">
        <v>2261</v>
      </c>
      <c r="G349" t="str">
        <f t="shared" si="5"/>
        <v>52651 : Legal Services</v>
      </c>
    </row>
    <row r="350" spans="1:7">
      <c r="A350" s="5" t="s">
        <v>1715</v>
      </c>
      <c r="B350" s="5" t="s">
        <v>325</v>
      </c>
      <c r="C350" s="5" t="s">
        <v>343</v>
      </c>
      <c r="D350" s="5" t="s">
        <v>2263</v>
      </c>
      <c r="E350" s="5" t="s">
        <v>1740</v>
      </c>
      <c r="F350" s="5" t="s">
        <v>2261</v>
      </c>
      <c r="G350" t="str">
        <f t="shared" si="5"/>
        <v>52651 : Legal svcs</v>
      </c>
    </row>
    <row r="351" spans="1:7">
      <c r="A351" s="5" t="s">
        <v>1715</v>
      </c>
      <c r="B351" s="5" t="s">
        <v>325</v>
      </c>
      <c r="C351" s="5" t="s">
        <v>356</v>
      </c>
      <c r="D351" s="5" t="s">
        <v>356</v>
      </c>
      <c r="E351" s="5" t="s">
        <v>1742</v>
      </c>
      <c r="F351" s="5" t="s">
        <v>2264</v>
      </c>
      <c r="G351" t="str">
        <f t="shared" si="5"/>
        <v>52702 : 8600000000</v>
      </c>
    </row>
    <row r="352" spans="1:7">
      <c r="A352" s="5" t="s">
        <v>1715</v>
      </c>
      <c r="B352" s="5" t="s">
        <v>325</v>
      </c>
      <c r="C352" s="5" t="s">
        <v>355</v>
      </c>
      <c r="D352" s="5" t="s">
        <v>2265</v>
      </c>
      <c r="E352" s="5" t="s">
        <v>1742</v>
      </c>
      <c r="F352" s="5" t="s">
        <v>2264</v>
      </c>
      <c r="G352" t="str">
        <f t="shared" si="5"/>
        <v>52702 : Vocational training</v>
      </c>
    </row>
    <row r="353" spans="1:7">
      <c r="A353" s="5" t="s">
        <v>1715</v>
      </c>
      <c r="B353" s="5" t="s">
        <v>325</v>
      </c>
      <c r="C353" s="5" t="s">
        <v>357</v>
      </c>
      <c r="D353" s="5" t="s">
        <v>2266</v>
      </c>
      <c r="E353" s="5" t="s">
        <v>1742</v>
      </c>
      <c r="F353" s="5" t="s">
        <v>2264</v>
      </c>
      <c r="G353" t="str">
        <f t="shared" si="5"/>
        <v>52702 : Alternative educational syst</v>
      </c>
    </row>
    <row r="354" spans="1:7">
      <c r="A354" s="5" t="s">
        <v>1715</v>
      </c>
      <c r="B354" s="5" t="s">
        <v>325</v>
      </c>
      <c r="C354" s="5" t="s">
        <v>358</v>
      </c>
      <c r="D354" s="5" t="s">
        <v>2267</v>
      </c>
      <c r="E354" s="5" t="s">
        <v>1744</v>
      </c>
      <c r="F354" s="5" t="s">
        <v>2268</v>
      </c>
      <c r="G354" t="str">
        <f t="shared" si="5"/>
        <v>52703 : Educational institutions</v>
      </c>
    </row>
    <row r="355" spans="1:7">
      <c r="A355" s="5" t="s">
        <v>1715</v>
      </c>
      <c r="B355" s="5" t="s">
        <v>325</v>
      </c>
      <c r="C355" s="5" t="s">
        <v>359</v>
      </c>
      <c r="D355" s="5" t="s">
        <v>2269</v>
      </c>
      <c r="E355" s="5" t="s">
        <v>1744</v>
      </c>
      <c r="F355" s="5" t="s">
        <v>2268</v>
      </c>
      <c r="G355" t="str">
        <f t="shared" si="5"/>
        <v>52703 : Specialized educational svcs</v>
      </c>
    </row>
    <row r="356" spans="1:7">
      <c r="A356" s="5" t="s">
        <v>1715</v>
      </c>
      <c r="B356" s="5" t="s">
        <v>325</v>
      </c>
      <c r="C356" s="5" t="s">
        <v>387</v>
      </c>
      <c r="D356" s="5" t="s">
        <v>2270</v>
      </c>
      <c r="E356" s="5" t="s">
        <v>1744</v>
      </c>
      <c r="F356" s="5" t="s">
        <v>2268</v>
      </c>
      <c r="G356" t="str">
        <f t="shared" si="5"/>
        <v>52703 : Educational facilities</v>
      </c>
    </row>
    <row r="357" spans="1:7">
      <c r="A357" s="5" t="s">
        <v>1715</v>
      </c>
      <c r="B357" s="5" t="s">
        <v>325</v>
      </c>
      <c r="C357" s="5" t="s">
        <v>425</v>
      </c>
      <c r="D357" s="5" t="s">
        <v>2271</v>
      </c>
      <c r="E357" s="5" t="s">
        <v>2272</v>
      </c>
      <c r="F357" s="5" t="s">
        <v>2273</v>
      </c>
      <c r="G357" t="str">
        <f t="shared" si="5"/>
        <v>52752 : Marketing &amp; distribution</v>
      </c>
    </row>
    <row r="358" spans="1:7">
      <c r="A358" s="5" t="s">
        <v>1715</v>
      </c>
      <c r="B358" s="5" t="s">
        <v>325</v>
      </c>
      <c r="C358" s="5" t="s">
        <v>426</v>
      </c>
      <c r="D358" s="5" t="s">
        <v>2274</v>
      </c>
      <c r="E358" s="5" t="s">
        <v>2272</v>
      </c>
      <c r="F358" s="5" t="s">
        <v>2273</v>
      </c>
      <c r="G358" t="str">
        <f t="shared" si="5"/>
        <v>52752 : Trade policy &amp; svcs</v>
      </c>
    </row>
    <row r="359" spans="1:7">
      <c r="A359" s="5" t="s">
        <v>1715</v>
      </c>
      <c r="B359" s="5" t="s">
        <v>325</v>
      </c>
      <c r="C359" s="5" t="s">
        <v>432</v>
      </c>
      <c r="D359" s="5" t="s">
        <v>432</v>
      </c>
      <c r="E359" s="5" t="s">
        <v>2272</v>
      </c>
      <c r="F359" s="5" t="s">
        <v>2273</v>
      </c>
      <c r="G359" t="str">
        <f t="shared" si="5"/>
        <v>52752 : 8200000000</v>
      </c>
    </row>
    <row r="360" spans="1:7">
      <c r="A360" s="5" t="s">
        <v>1715</v>
      </c>
      <c r="B360" s="5" t="s">
        <v>325</v>
      </c>
      <c r="C360" s="5" t="s">
        <v>431</v>
      </c>
      <c r="D360" s="5" t="s">
        <v>2275</v>
      </c>
      <c r="E360" s="5" t="s">
        <v>2272</v>
      </c>
      <c r="F360" s="5" t="s">
        <v>2273</v>
      </c>
      <c r="G360" t="str">
        <f t="shared" si="5"/>
        <v>52752 : Advertising</v>
      </c>
    </row>
    <row r="361" spans="1:7">
      <c r="A361" s="5" t="s">
        <v>1715</v>
      </c>
      <c r="B361" s="5" t="s">
        <v>325</v>
      </c>
      <c r="C361" s="5" t="s">
        <v>474</v>
      </c>
      <c r="D361" s="5" t="s">
        <v>2276</v>
      </c>
      <c r="E361" s="5" t="s">
        <v>1750</v>
      </c>
      <c r="F361" s="5" t="s">
        <v>2277</v>
      </c>
      <c r="G361" t="str">
        <f t="shared" si="5"/>
        <v>52801 : Economics</v>
      </c>
    </row>
    <row r="362" spans="1:7">
      <c r="A362" s="5" t="s">
        <v>1715</v>
      </c>
      <c r="B362" s="5" t="s">
        <v>325</v>
      </c>
      <c r="C362" s="5" t="s">
        <v>428</v>
      </c>
      <c r="D362" s="5" t="s">
        <v>2278</v>
      </c>
      <c r="E362" s="5" t="s">
        <v>2279</v>
      </c>
      <c r="F362" s="5" t="s">
        <v>2280</v>
      </c>
      <c r="G362" t="str">
        <f t="shared" si="5"/>
        <v>52802 : Statistics</v>
      </c>
    </row>
    <row r="363" spans="1:7">
      <c r="A363" s="5" t="s">
        <v>1715</v>
      </c>
      <c r="B363" s="5" t="s">
        <v>325</v>
      </c>
      <c r="C363" s="5" t="s">
        <v>475</v>
      </c>
      <c r="D363" s="5" t="s">
        <v>2281</v>
      </c>
      <c r="E363" s="5" t="s">
        <v>2282</v>
      </c>
      <c r="F363" s="5" t="s">
        <v>2283</v>
      </c>
      <c r="G363" t="str">
        <f t="shared" si="5"/>
        <v>52803 : Earth science svcs</v>
      </c>
    </row>
    <row r="364" spans="1:7">
      <c r="A364" s="5" t="s">
        <v>1715</v>
      </c>
      <c r="B364" s="5" t="s">
        <v>325</v>
      </c>
      <c r="C364" s="5" t="s">
        <v>350</v>
      </c>
      <c r="D364" s="5" t="s">
        <v>350</v>
      </c>
      <c r="E364" s="5" t="s">
        <v>1750</v>
      </c>
      <c r="F364" s="5" t="s">
        <v>2277</v>
      </c>
      <c r="G364" t="str">
        <f t="shared" si="5"/>
        <v>52801 : 8400000000</v>
      </c>
    </row>
    <row r="365" spans="1:7">
      <c r="A365" s="5" t="s">
        <v>1715</v>
      </c>
      <c r="B365" s="5" t="s">
        <v>325</v>
      </c>
      <c r="C365" s="5" t="s">
        <v>349</v>
      </c>
      <c r="D365" s="5" t="s">
        <v>2284</v>
      </c>
      <c r="E365" s="5" t="s">
        <v>1750</v>
      </c>
      <c r="F365" s="5" t="s">
        <v>2277</v>
      </c>
      <c r="G365" t="str">
        <f t="shared" si="5"/>
        <v>52801 : Devlpmt finance</v>
      </c>
    </row>
    <row r="366" spans="1:7">
      <c r="A366" s="5" t="s">
        <v>1715</v>
      </c>
      <c r="B366" s="5" t="s">
        <v>325</v>
      </c>
      <c r="C366" s="5" t="s">
        <v>351</v>
      </c>
      <c r="D366" s="5" t="s">
        <v>2285</v>
      </c>
      <c r="E366" s="5" t="s">
        <v>1750</v>
      </c>
      <c r="F366" s="5" t="s">
        <v>2277</v>
      </c>
      <c r="G366" t="str">
        <f t="shared" si="5"/>
        <v>52801 : Accounting &amp; auditing</v>
      </c>
    </row>
    <row r="367" spans="1:7">
      <c r="A367" s="5" t="s">
        <v>1715</v>
      </c>
      <c r="B367" s="5" t="s">
        <v>325</v>
      </c>
      <c r="C367" s="5" t="s">
        <v>336</v>
      </c>
      <c r="D367" s="5" t="s">
        <v>2286</v>
      </c>
      <c r="E367" s="5" t="s">
        <v>1752</v>
      </c>
      <c r="F367" s="5" t="s">
        <v>2287</v>
      </c>
      <c r="G367" t="str">
        <f t="shared" si="5"/>
        <v>52804 : Security &amp; personal safety</v>
      </c>
    </row>
    <row r="368" spans="1:7">
      <c r="A368" s="5" t="s">
        <v>1715</v>
      </c>
      <c r="B368" s="5" t="s">
        <v>325</v>
      </c>
      <c r="C368" s="5" t="s">
        <v>480</v>
      </c>
      <c r="D368" s="5" t="s">
        <v>2288</v>
      </c>
      <c r="E368" s="5" t="s">
        <v>2289</v>
      </c>
      <c r="F368" s="5" t="s">
        <v>2290</v>
      </c>
      <c r="G368" t="str">
        <f t="shared" si="5"/>
        <v>52808 : Intracity Payments</v>
      </c>
    </row>
    <row r="369" spans="1:7">
      <c r="A369" s="5" t="s">
        <v>1715</v>
      </c>
      <c r="B369" s="5" t="s">
        <v>325</v>
      </c>
      <c r="C369" s="5" t="s">
        <v>498</v>
      </c>
      <c r="D369" s="5" t="s">
        <v>2291</v>
      </c>
      <c r="E369" s="5" t="s">
        <v>2292</v>
      </c>
      <c r="F369" s="5" t="s">
        <v>2293</v>
      </c>
      <c r="G369" t="str">
        <f t="shared" si="5"/>
        <v>52810 : City Council Payments</v>
      </c>
    </row>
    <row r="370" spans="1:7">
      <c r="A370" s="5" t="s">
        <v>1715</v>
      </c>
      <c r="B370" s="5" t="s">
        <v>325</v>
      </c>
      <c r="C370" s="5" t="s">
        <v>499</v>
      </c>
      <c r="D370" s="5" t="s">
        <v>499</v>
      </c>
      <c r="E370" s="5" t="s">
        <v>2292</v>
      </c>
      <c r="F370" s="5" t="s">
        <v>2293</v>
      </c>
      <c r="G370" t="str">
        <f t="shared" si="5"/>
        <v>52810 : 1000</v>
      </c>
    </row>
    <row r="371" spans="1:7">
      <c r="A371" s="5" t="s">
        <v>1715</v>
      </c>
      <c r="B371" s="5" t="s">
        <v>325</v>
      </c>
      <c r="C371" s="5" t="s">
        <v>410</v>
      </c>
      <c r="D371" s="5" t="s">
        <v>2294</v>
      </c>
      <c r="E371" s="5" t="s">
        <v>2295</v>
      </c>
      <c r="F371" s="5" t="s">
        <v>2296</v>
      </c>
      <c r="G371" t="str">
        <f t="shared" si="5"/>
        <v>52816 : Livestock svcs</v>
      </c>
    </row>
    <row r="372" spans="1:7">
      <c r="A372" s="5" t="s">
        <v>1715</v>
      </c>
      <c r="B372" s="5" t="s">
        <v>325</v>
      </c>
      <c r="C372" s="5" t="s">
        <v>419</v>
      </c>
      <c r="D372" s="5" t="s">
        <v>2297</v>
      </c>
      <c r="E372" s="5" t="s">
        <v>2295</v>
      </c>
      <c r="F372" s="5" t="s">
        <v>2296</v>
      </c>
      <c r="G372" t="str">
        <f t="shared" si="5"/>
        <v>52816 : Livestock svcs - Haz</v>
      </c>
    </row>
    <row r="373" spans="1:7">
      <c r="A373" s="5" t="s">
        <v>1715</v>
      </c>
      <c r="B373" s="5" t="s">
        <v>325</v>
      </c>
      <c r="C373" s="5" t="s">
        <v>411</v>
      </c>
      <c r="D373" s="5" t="s">
        <v>2298</v>
      </c>
      <c r="E373" s="5" t="s">
        <v>2295</v>
      </c>
      <c r="F373" s="5" t="s">
        <v>2296</v>
      </c>
      <c r="G373" t="str">
        <f t="shared" si="5"/>
        <v>52816 : Crop prodn &amp; mgmt &amp; protection</v>
      </c>
    </row>
    <row r="374" spans="1:7">
      <c r="A374" s="5" t="s">
        <v>1715</v>
      </c>
      <c r="B374" s="5" t="s">
        <v>325</v>
      </c>
      <c r="C374" s="5" t="s">
        <v>412</v>
      </c>
      <c r="D374" s="5" t="s">
        <v>2299</v>
      </c>
      <c r="E374" s="5" t="s">
        <v>2295</v>
      </c>
      <c r="F374" s="5" t="s">
        <v>2296</v>
      </c>
      <c r="G374" t="str">
        <f t="shared" si="5"/>
        <v>52816 : Water resources devlpmt</v>
      </c>
    </row>
    <row r="375" spans="1:7">
      <c r="A375" s="5" t="s">
        <v>1715</v>
      </c>
      <c r="B375" s="5" t="s">
        <v>325</v>
      </c>
      <c r="C375" s="5" t="s">
        <v>420</v>
      </c>
      <c r="D375" s="5" t="s">
        <v>2300</v>
      </c>
      <c r="E375" s="5" t="s">
        <v>2295</v>
      </c>
      <c r="F375" s="5" t="s">
        <v>2296</v>
      </c>
      <c r="G375" t="str">
        <f t="shared" si="5"/>
        <v>52816 : Water resource devlpmt - Haz</v>
      </c>
    </row>
    <row r="376" spans="1:7">
      <c r="A376" s="5" t="s">
        <v>1715</v>
      </c>
      <c r="B376" s="5" t="s">
        <v>325</v>
      </c>
      <c r="C376" s="5" t="s">
        <v>413</v>
      </c>
      <c r="D376" s="5" t="s">
        <v>2301</v>
      </c>
      <c r="E376" s="5" t="s">
        <v>2295</v>
      </c>
      <c r="F376" s="5" t="s">
        <v>2296</v>
      </c>
      <c r="G376" t="str">
        <f t="shared" si="5"/>
        <v>52816 : Water resources devlpmt - Grn</v>
      </c>
    </row>
    <row r="377" spans="1:7">
      <c r="A377" s="5" t="s">
        <v>1715</v>
      </c>
      <c r="B377" s="5" t="s">
        <v>325</v>
      </c>
      <c r="C377" s="5" t="s">
        <v>422</v>
      </c>
      <c r="D377" s="5" t="s">
        <v>422</v>
      </c>
      <c r="E377" s="5" t="s">
        <v>2295</v>
      </c>
      <c r="F377" s="5" t="s">
        <v>2296</v>
      </c>
      <c r="G377" t="str">
        <f t="shared" si="5"/>
        <v>52816 : 7100000000</v>
      </c>
    </row>
    <row r="378" spans="1:7">
      <c r="A378" s="5" t="s">
        <v>1715</v>
      </c>
      <c r="B378" s="5" t="s">
        <v>325</v>
      </c>
      <c r="C378" s="5" t="s">
        <v>421</v>
      </c>
      <c r="D378" s="5" t="s">
        <v>2302</v>
      </c>
      <c r="E378" s="5" t="s">
        <v>2295</v>
      </c>
      <c r="F378" s="5" t="s">
        <v>2296</v>
      </c>
      <c r="G378" t="str">
        <f t="shared" si="5"/>
        <v>52816 : Mining svcs</v>
      </c>
    </row>
    <row r="379" spans="1:7">
      <c r="A379" s="5" t="s">
        <v>1715</v>
      </c>
      <c r="B379" s="5" t="s">
        <v>325</v>
      </c>
      <c r="C379" s="5" t="s">
        <v>423</v>
      </c>
      <c r="D379" s="5" t="s">
        <v>2303</v>
      </c>
      <c r="E379" s="5" t="s">
        <v>2295</v>
      </c>
      <c r="F379" s="5" t="s">
        <v>2296</v>
      </c>
      <c r="G379" t="str">
        <f t="shared" si="5"/>
        <v>52816 : Mining svcs - Haz</v>
      </c>
    </row>
    <row r="380" spans="1:7">
      <c r="A380" s="5" t="s">
        <v>1715</v>
      </c>
      <c r="B380" s="5" t="s">
        <v>325</v>
      </c>
      <c r="C380" s="5" t="s">
        <v>360</v>
      </c>
      <c r="D380" s="5" t="s">
        <v>2304</v>
      </c>
      <c r="E380" s="5" t="s">
        <v>2295</v>
      </c>
      <c r="F380" s="5" t="s">
        <v>2296</v>
      </c>
      <c r="G380" t="str">
        <f t="shared" si="5"/>
        <v>52816 : Mining svcs - Grn</v>
      </c>
    </row>
    <row r="381" spans="1:7">
      <c r="A381" s="5" t="s">
        <v>1715</v>
      </c>
      <c r="B381" s="5" t="s">
        <v>325</v>
      </c>
      <c r="C381" s="5" t="s">
        <v>449</v>
      </c>
      <c r="D381" s="5" t="s">
        <v>2305</v>
      </c>
      <c r="E381" s="5" t="s">
        <v>2295</v>
      </c>
      <c r="F381" s="5" t="s">
        <v>2296</v>
      </c>
      <c r="G381" t="str">
        <f t="shared" si="5"/>
        <v>52816 : Oil &amp; gas exploration</v>
      </c>
    </row>
    <row r="382" spans="1:7">
      <c r="A382" s="5" t="s">
        <v>1715</v>
      </c>
      <c r="B382" s="5" t="s">
        <v>325</v>
      </c>
      <c r="C382" s="5" t="s">
        <v>450</v>
      </c>
      <c r="D382" s="5" t="s">
        <v>2306</v>
      </c>
      <c r="E382" s="5" t="s">
        <v>2295</v>
      </c>
      <c r="F382" s="5" t="s">
        <v>2296</v>
      </c>
      <c r="G382" t="str">
        <f t="shared" si="5"/>
        <v>52816 : Oil &amp; gas exploration - Haz</v>
      </c>
    </row>
    <row r="383" spans="1:7">
      <c r="A383" s="5" t="s">
        <v>1715</v>
      </c>
      <c r="B383" s="5" t="s">
        <v>325</v>
      </c>
      <c r="C383" s="5" t="s">
        <v>451</v>
      </c>
      <c r="D383" s="5" t="s">
        <v>2307</v>
      </c>
      <c r="E383" s="5" t="s">
        <v>2295</v>
      </c>
      <c r="F383" s="5" t="s">
        <v>2296</v>
      </c>
      <c r="G383" t="str">
        <f t="shared" si="5"/>
        <v>52816 : Oil &amp; gas exploration- Grn</v>
      </c>
    </row>
    <row r="384" spans="1:7">
      <c r="A384" s="5" t="s">
        <v>1715</v>
      </c>
      <c r="B384" s="5" t="s">
        <v>325</v>
      </c>
      <c r="C384" s="5" t="s">
        <v>452</v>
      </c>
      <c r="D384" s="5" t="s">
        <v>2308</v>
      </c>
      <c r="E384" s="5" t="s">
        <v>2295</v>
      </c>
      <c r="F384" s="5" t="s">
        <v>2296</v>
      </c>
      <c r="G384" t="str">
        <f t="shared" si="5"/>
        <v>52816 : Well drilling svcs</v>
      </c>
    </row>
    <row r="385" spans="1:7">
      <c r="A385" s="5" t="s">
        <v>1715</v>
      </c>
      <c r="B385" s="5" t="s">
        <v>325</v>
      </c>
      <c r="C385" s="5" t="s">
        <v>361</v>
      </c>
      <c r="D385" s="5" t="s">
        <v>2309</v>
      </c>
      <c r="E385" s="5" t="s">
        <v>2295</v>
      </c>
      <c r="F385" s="5" t="s">
        <v>2296</v>
      </c>
      <c r="G385" t="str">
        <f t="shared" si="5"/>
        <v>52816 : Well drilling svcs - Haz</v>
      </c>
    </row>
    <row r="386" spans="1:7">
      <c r="A386" s="5" t="s">
        <v>1715</v>
      </c>
      <c r="B386" s="5" t="s">
        <v>325</v>
      </c>
      <c r="C386" s="5" t="s">
        <v>453</v>
      </c>
      <c r="D386" s="5" t="s">
        <v>2310</v>
      </c>
      <c r="E386" s="5" t="s">
        <v>2295</v>
      </c>
      <c r="F386" s="5" t="s">
        <v>2296</v>
      </c>
      <c r="G386" t="str">
        <f t="shared" si="5"/>
        <v>52816 : Well drilling svcs - Grn</v>
      </c>
    </row>
    <row r="387" spans="1:7">
      <c r="A387" s="5" t="s">
        <v>1715</v>
      </c>
      <c r="B387" s="5" t="s">
        <v>325</v>
      </c>
      <c r="C387" s="5" t="s">
        <v>454</v>
      </c>
      <c r="D387" s="5" t="s">
        <v>2311</v>
      </c>
      <c r="E387" s="5" t="s">
        <v>2295</v>
      </c>
      <c r="F387" s="5" t="s">
        <v>2296</v>
      </c>
      <c r="G387" t="str">
        <f t="shared" si="5"/>
        <v>52816 : Oil &amp; gas extraction</v>
      </c>
    </row>
    <row r="388" spans="1:7">
      <c r="A388" s="5" t="s">
        <v>1715</v>
      </c>
      <c r="B388" s="5" t="s">
        <v>325</v>
      </c>
      <c r="C388" s="5" t="s">
        <v>455</v>
      </c>
      <c r="D388" s="5" t="s">
        <v>2312</v>
      </c>
      <c r="E388" s="5" t="s">
        <v>2295</v>
      </c>
      <c r="F388" s="5" t="s">
        <v>2296</v>
      </c>
      <c r="G388" t="str">
        <f t="shared" ref="G388:G451" si="6">CONCATENATE(E388, " : ", D388)</f>
        <v>52816 : Oil &amp; gas extraction - Haz</v>
      </c>
    </row>
    <row r="389" spans="1:7">
      <c r="A389" s="5" t="s">
        <v>1715</v>
      </c>
      <c r="B389" s="5" t="s">
        <v>325</v>
      </c>
      <c r="C389" s="5" t="s">
        <v>456</v>
      </c>
      <c r="D389" s="5" t="s">
        <v>2313</v>
      </c>
      <c r="E389" s="5" t="s">
        <v>2295</v>
      </c>
      <c r="F389" s="5" t="s">
        <v>2296</v>
      </c>
      <c r="G389" t="str">
        <f t="shared" si="6"/>
        <v>52816 : Oil &amp; gas extraction - Grn</v>
      </c>
    </row>
    <row r="390" spans="1:7">
      <c r="A390" s="5" t="s">
        <v>1715</v>
      </c>
      <c r="B390" s="5" t="s">
        <v>325</v>
      </c>
      <c r="C390" s="5" t="s">
        <v>457</v>
      </c>
      <c r="D390" s="5" t="s">
        <v>2314</v>
      </c>
      <c r="E390" s="5" t="s">
        <v>2295</v>
      </c>
      <c r="F390" s="5" t="s">
        <v>2296</v>
      </c>
      <c r="G390" t="str">
        <f t="shared" si="6"/>
        <v>52816 : Oil &amp; gas restoration</v>
      </c>
    </row>
    <row r="391" spans="1:7">
      <c r="A391" s="5" t="s">
        <v>1715</v>
      </c>
      <c r="B391" s="5" t="s">
        <v>325</v>
      </c>
      <c r="C391" s="5" t="s">
        <v>458</v>
      </c>
      <c r="D391" s="5" t="s">
        <v>2315</v>
      </c>
      <c r="E391" s="5" t="s">
        <v>2295</v>
      </c>
      <c r="F391" s="5" t="s">
        <v>2296</v>
      </c>
      <c r="G391" t="str">
        <f t="shared" si="6"/>
        <v>52816 : Oil &amp; gas restoration - Haz</v>
      </c>
    </row>
    <row r="392" spans="1:7">
      <c r="A392" s="5" t="s">
        <v>1715</v>
      </c>
      <c r="B392" s="5" t="s">
        <v>325</v>
      </c>
      <c r="C392" s="5" t="s">
        <v>362</v>
      </c>
      <c r="D392" s="5" t="s">
        <v>2316</v>
      </c>
      <c r="E392" s="5" t="s">
        <v>2295</v>
      </c>
      <c r="F392" s="5" t="s">
        <v>2296</v>
      </c>
      <c r="G392" t="str">
        <f t="shared" si="6"/>
        <v>52816 : Oil &amp; gas restoration - Grn</v>
      </c>
    </row>
    <row r="393" spans="1:7">
      <c r="A393" s="5" t="s">
        <v>1715</v>
      </c>
      <c r="B393" s="5" t="s">
        <v>325</v>
      </c>
      <c r="C393" s="5" t="s">
        <v>363</v>
      </c>
      <c r="D393" s="5" t="s">
        <v>2317</v>
      </c>
      <c r="E393" s="5" t="s">
        <v>2295</v>
      </c>
      <c r="F393" s="5" t="s">
        <v>2296</v>
      </c>
      <c r="G393" t="str">
        <f t="shared" si="6"/>
        <v>52816 : Oil &amp; gas data mgmt svcs</v>
      </c>
    </row>
    <row r="394" spans="1:7">
      <c r="A394" s="5" t="s">
        <v>1715</v>
      </c>
      <c r="B394" s="5" t="s">
        <v>325</v>
      </c>
      <c r="C394" s="5" t="s">
        <v>388</v>
      </c>
      <c r="D394" s="5" t="s">
        <v>2318</v>
      </c>
      <c r="E394" s="5" t="s">
        <v>2295</v>
      </c>
      <c r="F394" s="5" t="s">
        <v>2296</v>
      </c>
      <c r="G394" t="str">
        <f t="shared" si="6"/>
        <v>52816 : Oil &amp; gas data mgmt svcs - Haz</v>
      </c>
    </row>
    <row r="395" spans="1:7">
      <c r="A395" s="5" t="s">
        <v>1715</v>
      </c>
      <c r="B395" s="5" t="s">
        <v>325</v>
      </c>
      <c r="C395" s="5" t="s">
        <v>389</v>
      </c>
      <c r="D395" s="5" t="s">
        <v>2319</v>
      </c>
      <c r="E395" s="5" t="s">
        <v>2295</v>
      </c>
      <c r="F395" s="5" t="s">
        <v>2296</v>
      </c>
      <c r="G395" t="str">
        <f t="shared" si="6"/>
        <v>52816 : Oil &amp; gas data mgmt svcs - Grn</v>
      </c>
    </row>
    <row r="396" spans="1:7">
      <c r="A396" s="5" t="s">
        <v>1715</v>
      </c>
      <c r="B396" s="5" t="s">
        <v>325</v>
      </c>
      <c r="C396" s="5" t="s">
        <v>390</v>
      </c>
      <c r="D396" s="5" t="s">
        <v>2320</v>
      </c>
      <c r="E396" s="5" t="s">
        <v>2292</v>
      </c>
      <c r="F396" s="5" t="s">
        <v>2293</v>
      </c>
      <c r="G396" t="str">
        <f t="shared" si="6"/>
        <v>52810 : Oil &amp; gas well project mgmt</v>
      </c>
    </row>
    <row r="397" spans="1:7">
      <c r="A397" s="5" t="s">
        <v>1715</v>
      </c>
      <c r="B397" s="5" t="s">
        <v>325</v>
      </c>
      <c r="C397" s="5" t="s">
        <v>460</v>
      </c>
      <c r="D397" s="5" t="s">
        <v>460</v>
      </c>
      <c r="E397" s="5" t="s">
        <v>2295</v>
      </c>
      <c r="F397" s="5" t="s">
        <v>2296</v>
      </c>
      <c r="G397" t="str">
        <f t="shared" si="6"/>
        <v>52816 : 7300000000</v>
      </c>
    </row>
    <row r="398" spans="1:7">
      <c r="A398" s="5" t="s">
        <v>1715</v>
      </c>
      <c r="B398" s="5" t="s">
        <v>325</v>
      </c>
      <c r="C398" s="5" t="s">
        <v>459</v>
      </c>
      <c r="D398" s="5" t="s">
        <v>2321</v>
      </c>
      <c r="E398" s="5" t="s">
        <v>2295</v>
      </c>
      <c r="F398" s="5" t="s">
        <v>2296</v>
      </c>
      <c r="G398" t="str">
        <f t="shared" si="6"/>
        <v>52816 : Plastic &amp; chemical svcs</v>
      </c>
    </row>
    <row r="399" spans="1:7">
      <c r="A399" s="5" t="s">
        <v>1715</v>
      </c>
      <c r="B399" s="5" t="s">
        <v>325</v>
      </c>
      <c r="C399" s="5" t="s">
        <v>461</v>
      </c>
      <c r="D399" s="5" t="s">
        <v>2322</v>
      </c>
      <c r="E399" s="5" t="s">
        <v>2295</v>
      </c>
      <c r="F399" s="5" t="s">
        <v>2296</v>
      </c>
      <c r="G399" t="str">
        <f t="shared" si="6"/>
        <v>52816 : Plastic &amp; chemical svcs - Haz</v>
      </c>
    </row>
    <row r="400" spans="1:7">
      <c r="A400" s="5" t="s">
        <v>1715</v>
      </c>
      <c r="B400" s="5" t="s">
        <v>325</v>
      </c>
      <c r="C400" s="5" t="s">
        <v>462</v>
      </c>
      <c r="D400" s="5" t="s">
        <v>2323</v>
      </c>
      <c r="E400" s="5" t="s">
        <v>2295</v>
      </c>
      <c r="F400" s="5" t="s">
        <v>2296</v>
      </c>
      <c r="G400" t="str">
        <f t="shared" si="6"/>
        <v>52816 : Wood &amp; paper industries</v>
      </c>
    </row>
    <row r="401" spans="1:7">
      <c r="A401" s="5" t="s">
        <v>1715</v>
      </c>
      <c r="B401" s="5" t="s">
        <v>325</v>
      </c>
      <c r="C401" s="5" t="s">
        <v>463</v>
      </c>
      <c r="D401" s="5" t="s">
        <v>2324</v>
      </c>
      <c r="E401" s="5" t="s">
        <v>2295</v>
      </c>
      <c r="F401" s="5" t="s">
        <v>2296</v>
      </c>
      <c r="G401" t="str">
        <f t="shared" si="6"/>
        <v>52816 : Metal &amp; mineral svcs</v>
      </c>
    </row>
    <row r="402" spans="1:7">
      <c r="A402" s="5" t="s">
        <v>1715</v>
      </c>
      <c r="B402" s="5" t="s">
        <v>325</v>
      </c>
      <c r="C402" s="5" t="s">
        <v>464</v>
      </c>
      <c r="D402" s="5" t="s">
        <v>2325</v>
      </c>
      <c r="E402" s="5" t="s">
        <v>2295</v>
      </c>
      <c r="F402" s="5" t="s">
        <v>2296</v>
      </c>
      <c r="G402" t="str">
        <f t="shared" si="6"/>
        <v>52816 : Metal &amp; mineral svcs - Haz</v>
      </c>
    </row>
    <row r="403" spans="1:7">
      <c r="A403" s="5" t="s">
        <v>1715</v>
      </c>
      <c r="B403" s="5" t="s">
        <v>325</v>
      </c>
      <c r="C403" s="5" t="s">
        <v>465</v>
      </c>
      <c r="D403" s="5" t="s">
        <v>2326</v>
      </c>
      <c r="E403" s="5" t="s">
        <v>2295</v>
      </c>
      <c r="F403" s="5" t="s">
        <v>2296</v>
      </c>
      <c r="G403" t="str">
        <f t="shared" si="6"/>
        <v>52816 : Food &amp; beverage industries</v>
      </c>
    </row>
    <row r="404" spans="1:7">
      <c r="A404" s="5" t="s">
        <v>1715</v>
      </c>
      <c r="B404" s="5" t="s">
        <v>325</v>
      </c>
      <c r="C404" s="5" t="s">
        <v>466</v>
      </c>
      <c r="D404" s="5" t="s">
        <v>2327</v>
      </c>
      <c r="E404" s="5" t="s">
        <v>2295</v>
      </c>
      <c r="F404" s="5" t="s">
        <v>2296</v>
      </c>
      <c r="G404" t="str">
        <f t="shared" si="6"/>
        <v>52816 : Fabric &amp; textiles industries</v>
      </c>
    </row>
    <row r="405" spans="1:7">
      <c r="A405" s="5" t="s">
        <v>1715</v>
      </c>
      <c r="B405" s="5" t="s">
        <v>325</v>
      </c>
      <c r="C405" s="5" t="s">
        <v>469</v>
      </c>
      <c r="D405" s="5" t="s">
        <v>2328</v>
      </c>
      <c r="E405" s="5" t="s">
        <v>2295</v>
      </c>
      <c r="F405" s="5" t="s">
        <v>2296</v>
      </c>
      <c r="G405" t="str">
        <f t="shared" si="6"/>
        <v>52816 : Machinary manufacture</v>
      </c>
    </row>
    <row r="406" spans="1:7">
      <c r="A406" s="5" t="s">
        <v>1715</v>
      </c>
      <c r="B406" s="5" t="s">
        <v>325</v>
      </c>
      <c r="C406" s="5" t="s">
        <v>470</v>
      </c>
      <c r="D406" s="5" t="s">
        <v>2329</v>
      </c>
      <c r="E406" s="5" t="s">
        <v>2295</v>
      </c>
      <c r="F406" s="5" t="s">
        <v>2296</v>
      </c>
      <c r="G406" t="str">
        <f t="shared" si="6"/>
        <v>52816 : Machinary manufacture - Haz</v>
      </c>
    </row>
    <row r="407" spans="1:7">
      <c r="A407" s="5" t="s">
        <v>1715</v>
      </c>
      <c r="B407" s="5" t="s">
        <v>325</v>
      </c>
      <c r="C407" s="5" t="s">
        <v>435</v>
      </c>
      <c r="D407" s="5" t="s">
        <v>2330</v>
      </c>
      <c r="E407" s="5" t="s">
        <v>2295</v>
      </c>
      <c r="F407" s="5" t="s">
        <v>2296</v>
      </c>
      <c r="G407" t="str">
        <f t="shared" si="6"/>
        <v>52816 : Precision instruments svcs</v>
      </c>
    </row>
    <row r="408" spans="1:7">
      <c r="A408" s="5" t="s">
        <v>1715</v>
      </c>
      <c r="B408" s="5" t="s">
        <v>325</v>
      </c>
      <c r="C408" s="5" t="s">
        <v>436</v>
      </c>
      <c r="D408" s="5" t="s">
        <v>2331</v>
      </c>
      <c r="E408" s="5" t="s">
        <v>2295</v>
      </c>
      <c r="F408" s="5" t="s">
        <v>2296</v>
      </c>
      <c r="G408" t="str">
        <f t="shared" si="6"/>
        <v>52816 : Machining &amp; processing svcs</v>
      </c>
    </row>
    <row r="409" spans="1:7">
      <c r="A409" s="5" t="s">
        <v>1715</v>
      </c>
      <c r="B409" s="5" t="s">
        <v>325</v>
      </c>
      <c r="C409" s="5" t="s">
        <v>364</v>
      </c>
      <c r="D409" s="5" t="s">
        <v>364</v>
      </c>
      <c r="E409" s="5" t="s">
        <v>2332</v>
      </c>
      <c r="F409" s="5" t="s">
        <v>2296</v>
      </c>
      <c r="G409" t="str">
        <f t="shared" si="6"/>
        <v>52815 : 7600000000</v>
      </c>
    </row>
    <row r="410" spans="1:7">
      <c r="A410" s="5" t="s">
        <v>1715</v>
      </c>
      <c r="B410" s="5" t="s">
        <v>325</v>
      </c>
      <c r="C410" s="5" t="s">
        <v>437</v>
      </c>
      <c r="D410" s="5" t="s">
        <v>2333</v>
      </c>
      <c r="E410" s="5" t="s">
        <v>2332</v>
      </c>
      <c r="F410" s="5" t="s">
        <v>2296</v>
      </c>
      <c r="G410" t="str">
        <f t="shared" si="6"/>
        <v>52815 : Decontamination svcs</v>
      </c>
    </row>
    <row r="411" spans="1:7">
      <c r="A411" s="5" t="s">
        <v>1715</v>
      </c>
      <c r="B411" s="5" t="s">
        <v>325</v>
      </c>
      <c r="C411" s="5" t="s">
        <v>365</v>
      </c>
      <c r="D411" s="5" t="s">
        <v>2334</v>
      </c>
      <c r="E411" s="5" t="s">
        <v>2332</v>
      </c>
      <c r="F411" s="5" t="s">
        <v>2296</v>
      </c>
      <c r="G411" t="str">
        <f t="shared" si="6"/>
        <v>52815 : Decontamination svcs - Haz</v>
      </c>
    </row>
    <row r="412" spans="1:7">
      <c r="A412" s="5" t="s">
        <v>1715</v>
      </c>
      <c r="B412" s="5" t="s">
        <v>325</v>
      </c>
      <c r="C412" s="5" t="s">
        <v>366</v>
      </c>
      <c r="D412" s="5" t="s">
        <v>2335</v>
      </c>
      <c r="E412" s="5" t="s">
        <v>2332</v>
      </c>
      <c r="F412" s="5" t="s">
        <v>2296</v>
      </c>
      <c r="G412" t="str">
        <f t="shared" si="6"/>
        <v>52815 : Decontamination svcs - Grn</v>
      </c>
    </row>
    <row r="413" spans="1:7">
      <c r="A413" s="5" t="s">
        <v>1715</v>
      </c>
      <c r="B413" s="5" t="s">
        <v>325</v>
      </c>
      <c r="C413" s="5" t="s">
        <v>367</v>
      </c>
      <c r="D413" s="5" t="s">
        <v>2336</v>
      </c>
      <c r="E413" s="5" t="s">
        <v>2337</v>
      </c>
      <c r="F413" s="5" t="s">
        <v>2338</v>
      </c>
      <c r="G413" t="str">
        <f t="shared" si="6"/>
        <v>52807 : Clng &amp; janitorial svcs</v>
      </c>
    </row>
    <row r="414" spans="1:7">
      <c r="A414" s="5" t="s">
        <v>1715</v>
      </c>
      <c r="B414" s="5" t="s">
        <v>325</v>
      </c>
      <c r="C414" s="5" t="s">
        <v>394</v>
      </c>
      <c r="D414" s="5" t="s">
        <v>2339</v>
      </c>
      <c r="E414" s="5" t="s">
        <v>2337</v>
      </c>
      <c r="F414" s="5" t="s">
        <v>2338</v>
      </c>
      <c r="G414" t="str">
        <f t="shared" si="6"/>
        <v>52807 : Clng &amp; janitorial svcs - Haz</v>
      </c>
    </row>
    <row r="415" spans="1:7">
      <c r="A415" s="5" t="s">
        <v>1715</v>
      </c>
      <c r="B415" s="5" t="s">
        <v>325</v>
      </c>
      <c r="C415" s="5" t="s">
        <v>492</v>
      </c>
      <c r="D415" s="5" t="s">
        <v>492</v>
      </c>
      <c r="E415" s="5" t="s">
        <v>2337</v>
      </c>
      <c r="F415" s="5" t="s">
        <v>2338</v>
      </c>
      <c r="G415" t="str">
        <f t="shared" si="6"/>
        <v>52807 : 7611150000</v>
      </c>
    </row>
    <row r="416" spans="1:7">
      <c r="A416" s="5" t="s">
        <v>1715</v>
      </c>
      <c r="B416" s="5" t="s">
        <v>325</v>
      </c>
      <c r="C416" s="5" t="s">
        <v>491</v>
      </c>
      <c r="D416" s="5" t="s">
        <v>2340</v>
      </c>
      <c r="E416" s="5" t="s">
        <v>2337</v>
      </c>
      <c r="F416" s="5" t="s">
        <v>2338</v>
      </c>
      <c r="G416" t="str">
        <f t="shared" si="6"/>
        <v>52807 : Cleaning Services</v>
      </c>
    </row>
    <row r="417" spans="1:7">
      <c r="A417" s="5" t="s">
        <v>1715</v>
      </c>
      <c r="B417" s="5" t="s">
        <v>325</v>
      </c>
      <c r="C417" s="5" t="s">
        <v>371</v>
      </c>
      <c r="D417" s="5" t="s">
        <v>371</v>
      </c>
      <c r="E417" s="5" t="s">
        <v>2292</v>
      </c>
      <c r="F417" s="5" t="s">
        <v>2293</v>
      </c>
      <c r="G417" t="str">
        <f t="shared" si="6"/>
        <v>52810 : 7700000000</v>
      </c>
    </row>
    <row r="418" spans="1:7">
      <c r="A418" s="5" t="s">
        <v>1715</v>
      </c>
      <c r="B418" s="5" t="s">
        <v>325</v>
      </c>
      <c r="C418" s="5" t="s">
        <v>370</v>
      </c>
      <c r="D418" s="5" t="s">
        <v>2341</v>
      </c>
      <c r="E418" s="5" t="s">
        <v>2292</v>
      </c>
      <c r="F418" s="5" t="s">
        <v>2293</v>
      </c>
      <c r="G418" t="str">
        <f t="shared" si="6"/>
        <v>52810 : Environmental mgmt</v>
      </c>
    </row>
    <row r="419" spans="1:7">
      <c r="A419" s="5" t="s">
        <v>1715</v>
      </c>
      <c r="B419" s="5" t="s">
        <v>325</v>
      </c>
      <c r="C419" s="5" t="s">
        <v>372</v>
      </c>
      <c r="D419" s="5" t="s">
        <v>2342</v>
      </c>
      <c r="E419" s="5" t="s">
        <v>2292</v>
      </c>
      <c r="F419" s="5" t="s">
        <v>2293</v>
      </c>
      <c r="G419" t="str">
        <f t="shared" si="6"/>
        <v>52810 : Environmental mgmt - Haz</v>
      </c>
    </row>
    <row r="420" spans="1:7">
      <c r="A420" s="5" t="s">
        <v>1715</v>
      </c>
      <c r="B420" s="5" t="s">
        <v>325</v>
      </c>
      <c r="C420" s="5" t="s">
        <v>373</v>
      </c>
      <c r="D420" s="5" t="s">
        <v>2343</v>
      </c>
      <c r="E420" s="5" t="s">
        <v>2292</v>
      </c>
      <c r="F420" s="5" t="s">
        <v>2293</v>
      </c>
      <c r="G420" t="str">
        <f t="shared" si="6"/>
        <v>52810 : Environmental mgmt - Grn</v>
      </c>
    </row>
    <row r="421" spans="1:7">
      <c r="A421" s="5" t="s">
        <v>1715</v>
      </c>
      <c r="B421" s="5" t="s">
        <v>325</v>
      </c>
      <c r="C421" s="5" t="s">
        <v>374</v>
      </c>
      <c r="D421" s="5" t="s">
        <v>2344</v>
      </c>
      <c r="E421" s="5" t="s">
        <v>2292</v>
      </c>
      <c r="F421" s="5" t="s">
        <v>2293</v>
      </c>
      <c r="G421" t="str">
        <f t="shared" si="6"/>
        <v>52810 : Environmental protection</v>
      </c>
    </row>
    <row r="422" spans="1:7">
      <c r="A422" s="5" t="s">
        <v>1715</v>
      </c>
      <c r="B422" s="5" t="s">
        <v>325</v>
      </c>
      <c r="C422" s="5" t="s">
        <v>375</v>
      </c>
      <c r="D422" s="5" t="s">
        <v>2345</v>
      </c>
      <c r="E422" s="5" t="s">
        <v>2292</v>
      </c>
      <c r="F422" s="5" t="s">
        <v>2293</v>
      </c>
      <c r="G422" t="str">
        <f t="shared" si="6"/>
        <v>52810 : Environmental protection - Haz</v>
      </c>
    </row>
    <row r="423" spans="1:7">
      <c r="A423" s="5" t="s">
        <v>1715</v>
      </c>
      <c r="B423" s="5" t="s">
        <v>325</v>
      </c>
      <c r="C423" s="5" t="s">
        <v>376</v>
      </c>
      <c r="D423" s="5" t="s">
        <v>2346</v>
      </c>
      <c r="E423" s="5" t="s">
        <v>2292</v>
      </c>
      <c r="F423" s="5" t="s">
        <v>2293</v>
      </c>
      <c r="G423" t="str">
        <f t="shared" si="6"/>
        <v>52810 : Environmental protection - Grn</v>
      </c>
    </row>
    <row r="424" spans="1:7">
      <c r="A424" s="5" t="s">
        <v>1715</v>
      </c>
      <c r="B424" s="5" t="s">
        <v>325</v>
      </c>
      <c r="C424" s="5" t="s">
        <v>377</v>
      </c>
      <c r="D424" s="5" t="s">
        <v>2347</v>
      </c>
      <c r="E424" s="5" t="s">
        <v>2292</v>
      </c>
      <c r="F424" s="5" t="s">
        <v>2293</v>
      </c>
      <c r="G424" t="str">
        <f t="shared" si="6"/>
        <v>52810 : Pollution monitoring</v>
      </c>
    </row>
    <row r="425" spans="1:7">
      <c r="A425" s="5" t="s">
        <v>1715</v>
      </c>
      <c r="B425" s="5" t="s">
        <v>325</v>
      </c>
      <c r="C425" s="5" t="s">
        <v>378</v>
      </c>
      <c r="D425" s="5" t="s">
        <v>2348</v>
      </c>
      <c r="E425" s="5" t="s">
        <v>2292</v>
      </c>
      <c r="F425" s="5" t="s">
        <v>2293</v>
      </c>
      <c r="G425" t="str">
        <f t="shared" si="6"/>
        <v>52810 : Pollution monitoring - Haz</v>
      </c>
    </row>
    <row r="426" spans="1:7">
      <c r="A426" s="5" t="s">
        <v>1715</v>
      </c>
      <c r="B426" s="5" t="s">
        <v>325</v>
      </c>
      <c r="C426" s="5" t="s">
        <v>379</v>
      </c>
      <c r="D426" s="5" t="s">
        <v>2349</v>
      </c>
      <c r="E426" s="5" t="s">
        <v>2292</v>
      </c>
      <c r="F426" s="5" t="s">
        <v>2293</v>
      </c>
      <c r="G426" t="str">
        <f t="shared" si="6"/>
        <v>52810 : Pollution monitoring - Grn</v>
      </c>
    </row>
    <row r="427" spans="1:7">
      <c r="A427" s="5" t="s">
        <v>1715</v>
      </c>
      <c r="B427" s="5" t="s">
        <v>325</v>
      </c>
      <c r="C427" s="5" t="s">
        <v>380</v>
      </c>
      <c r="D427" s="5" t="s">
        <v>2350</v>
      </c>
      <c r="E427" s="5" t="s">
        <v>2292</v>
      </c>
      <c r="F427" s="5" t="s">
        <v>2293</v>
      </c>
      <c r="G427" t="str">
        <f t="shared" si="6"/>
        <v>52810 : Pollutant rehabilitation</v>
      </c>
    </row>
    <row r="428" spans="1:7">
      <c r="A428" s="5" t="s">
        <v>1715</v>
      </c>
      <c r="B428" s="5" t="s">
        <v>325</v>
      </c>
      <c r="C428" s="5" t="s">
        <v>397</v>
      </c>
      <c r="D428" s="5" t="s">
        <v>2351</v>
      </c>
      <c r="E428" s="5" t="s">
        <v>2292</v>
      </c>
      <c r="F428" s="5" t="s">
        <v>2293</v>
      </c>
      <c r="G428" t="str">
        <f t="shared" si="6"/>
        <v>52810 : Pollutant rehabilitation - Haz</v>
      </c>
    </row>
    <row r="429" spans="1:7">
      <c r="A429" s="5" t="s">
        <v>1715</v>
      </c>
      <c r="B429" s="5" t="s">
        <v>325</v>
      </c>
      <c r="C429" s="5" t="s">
        <v>398</v>
      </c>
      <c r="D429" s="5" t="s">
        <v>2352</v>
      </c>
      <c r="E429" s="5" t="s">
        <v>2292</v>
      </c>
      <c r="F429" s="5" t="s">
        <v>2293</v>
      </c>
      <c r="G429" t="str">
        <f t="shared" si="6"/>
        <v>52810 : Pollutant rehabilitation - Grn</v>
      </c>
    </row>
    <row r="430" spans="1:7">
      <c r="A430" s="5" t="s">
        <v>1715</v>
      </c>
      <c r="B430" s="5" t="s">
        <v>325</v>
      </c>
      <c r="C430" s="5" t="s">
        <v>404</v>
      </c>
      <c r="D430" s="5" t="s">
        <v>2353</v>
      </c>
      <c r="E430" s="5" t="s">
        <v>2292</v>
      </c>
      <c r="F430" s="5" t="s">
        <v>2293</v>
      </c>
      <c r="G430" t="str">
        <f t="shared" si="6"/>
        <v>52810 : Mgmt advisory svcs</v>
      </c>
    </row>
    <row r="431" spans="1:7">
      <c r="A431" s="5" t="s">
        <v>1715</v>
      </c>
      <c r="B431" s="5" t="s">
        <v>325</v>
      </c>
      <c r="C431" s="5" t="s">
        <v>405</v>
      </c>
      <c r="D431" s="5" t="s">
        <v>2354</v>
      </c>
      <c r="E431" s="5" t="s">
        <v>2292</v>
      </c>
      <c r="F431" s="5" t="s">
        <v>2293</v>
      </c>
      <c r="G431" t="str">
        <f t="shared" si="6"/>
        <v>52810 : Human resources svcs</v>
      </c>
    </row>
    <row r="432" spans="1:7">
      <c r="A432" s="5" t="s">
        <v>1715</v>
      </c>
      <c r="B432" s="5" t="s">
        <v>325</v>
      </c>
      <c r="C432" s="5" t="s">
        <v>479</v>
      </c>
      <c r="D432" s="5" t="s">
        <v>479</v>
      </c>
      <c r="E432" s="5" t="s">
        <v>1756</v>
      </c>
      <c r="F432" s="5" t="s">
        <v>2355</v>
      </c>
      <c r="G432" t="str">
        <f t="shared" si="6"/>
        <v>52819 : 8011160000</v>
      </c>
    </row>
    <row r="433" spans="1:7">
      <c r="A433" s="5" t="s">
        <v>1715</v>
      </c>
      <c r="B433" s="5" t="s">
        <v>325</v>
      </c>
      <c r="C433" s="5" t="s">
        <v>478</v>
      </c>
      <c r="D433" s="5" t="s">
        <v>2356</v>
      </c>
      <c r="E433" s="5" t="s">
        <v>1756</v>
      </c>
      <c r="F433" s="5" t="s">
        <v>2355</v>
      </c>
      <c r="G433" t="str">
        <f t="shared" si="6"/>
        <v>52819 : Temp Clerical/ Admin Services</v>
      </c>
    </row>
    <row r="434" spans="1:7">
      <c r="A434" s="5" t="s">
        <v>1715</v>
      </c>
      <c r="B434" s="5" t="s">
        <v>325</v>
      </c>
      <c r="C434" s="5" t="s">
        <v>427</v>
      </c>
      <c r="D434" s="5" t="s">
        <v>2357</v>
      </c>
      <c r="E434" s="5" t="s">
        <v>1756</v>
      </c>
      <c r="F434" s="5" t="s">
        <v>2355</v>
      </c>
      <c r="G434" t="str">
        <f t="shared" si="6"/>
        <v>52819 : Business admin svcs</v>
      </c>
    </row>
    <row r="435" spans="1:7">
      <c r="A435" s="5" t="s">
        <v>1715</v>
      </c>
      <c r="B435" s="5" t="s">
        <v>325</v>
      </c>
      <c r="C435" s="5" t="s">
        <v>472</v>
      </c>
      <c r="D435" s="5" t="s">
        <v>472</v>
      </c>
      <c r="E435" s="5" t="s">
        <v>2289</v>
      </c>
      <c r="F435" s="5" t="s">
        <v>2290</v>
      </c>
      <c r="G435" t="str">
        <f t="shared" si="6"/>
        <v>52808 : 8100000000</v>
      </c>
    </row>
    <row r="436" spans="1:7">
      <c r="A436" s="5" t="s">
        <v>1715</v>
      </c>
      <c r="B436" s="5" t="s">
        <v>325</v>
      </c>
      <c r="C436" s="5" t="s">
        <v>471</v>
      </c>
      <c r="D436" s="5" t="s">
        <v>2358</v>
      </c>
      <c r="E436" s="5" t="s">
        <v>2289</v>
      </c>
      <c r="F436" s="5" t="s">
        <v>2290</v>
      </c>
      <c r="G436" t="str">
        <f t="shared" si="6"/>
        <v>52808 : Professional engineering svcs</v>
      </c>
    </row>
    <row r="437" spans="1:7">
      <c r="A437" s="5" t="s">
        <v>1715</v>
      </c>
      <c r="B437" s="5" t="s">
        <v>325</v>
      </c>
      <c r="C437" s="5" t="s">
        <v>473</v>
      </c>
      <c r="D437" s="5" t="s">
        <v>2359</v>
      </c>
      <c r="E437" s="5" t="s">
        <v>2360</v>
      </c>
      <c r="F437" s="5" t="s">
        <v>2361</v>
      </c>
      <c r="G437" t="str">
        <f t="shared" si="6"/>
        <v>52812 : Computer svcs</v>
      </c>
    </row>
    <row r="438" spans="1:7">
      <c r="A438" s="5" t="s">
        <v>1715</v>
      </c>
      <c r="B438" s="5" t="s">
        <v>325</v>
      </c>
      <c r="C438" s="5" t="s">
        <v>429</v>
      </c>
      <c r="D438" s="5" t="s">
        <v>2362</v>
      </c>
      <c r="E438" s="5" t="s">
        <v>2295</v>
      </c>
      <c r="F438" s="5" t="s">
        <v>2296</v>
      </c>
      <c r="G438" t="str">
        <f t="shared" si="6"/>
        <v>52816 : Mfg technologies</v>
      </c>
    </row>
    <row r="439" spans="1:7">
      <c r="A439" s="5" t="s">
        <v>1715</v>
      </c>
      <c r="B439" s="5" t="s">
        <v>325</v>
      </c>
      <c r="C439" s="5" t="s">
        <v>433</v>
      </c>
      <c r="D439" s="5" t="s">
        <v>2363</v>
      </c>
      <c r="E439" s="5" t="s">
        <v>2295</v>
      </c>
      <c r="F439" s="5" t="s">
        <v>2296</v>
      </c>
      <c r="G439" t="str">
        <f t="shared" si="6"/>
        <v>52816 : Writing &amp; translations</v>
      </c>
    </row>
    <row r="440" spans="1:7">
      <c r="A440" s="5" t="s">
        <v>1715</v>
      </c>
      <c r="B440" s="5" t="s">
        <v>325</v>
      </c>
      <c r="C440" s="5" t="s">
        <v>348</v>
      </c>
      <c r="D440" s="5" t="s">
        <v>2364</v>
      </c>
      <c r="E440" s="5" t="s">
        <v>2295</v>
      </c>
      <c r="F440" s="5" t="s">
        <v>2296</v>
      </c>
      <c r="G440" t="str">
        <f t="shared" si="6"/>
        <v>52816 : Information svcs</v>
      </c>
    </row>
    <row r="441" spans="1:7">
      <c r="A441" s="5" t="s">
        <v>1715</v>
      </c>
      <c r="B441" s="5" t="s">
        <v>325</v>
      </c>
      <c r="C441" s="5" t="s">
        <v>352</v>
      </c>
      <c r="D441" s="5" t="s">
        <v>2365</v>
      </c>
      <c r="E441" s="5" t="s">
        <v>2295</v>
      </c>
      <c r="F441" s="5" t="s">
        <v>2296</v>
      </c>
      <c r="G441" t="str">
        <f t="shared" si="6"/>
        <v>52816 : Banking &amp; investment</v>
      </c>
    </row>
    <row r="442" spans="1:7">
      <c r="A442" s="5" t="s">
        <v>1715</v>
      </c>
      <c r="B442" s="5" t="s">
        <v>325</v>
      </c>
      <c r="C442" s="5" t="s">
        <v>383</v>
      </c>
      <c r="D442" s="5" t="s">
        <v>383</v>
      </c>
      <c r="E442" s="5" t="s">
        <v>2295</v>
      </c>
      <c r="F442" s="5" t="s">
        <v>2296</v>
      </c>
      <c r="G442" t="str">
        <f t="shared" si="6"/>
        <v>52816 : 8500000000</v>
      </c>
    </row>
    <row r="443" spans="1:7">
      <c r="A443" s="5" t="s">
        <v>1715</v>
      </c>
      <c r="B443" s="5" t="s">
        <v>325</v>
      </c>
      <c r="C443" s="5" t="s">
        <v>382</v>
      </c>
      <c r="D443" s="5" t="s">
        <v>2366</v>
      </c>
      <c r="E443" s="5" t="s">
        <v>2295</v>
      </c>
      <c r="F443" s="5" t="s">
        <v>2296</v>
      </c>
      <c r="G443" t="str">
        <f t="shared" si="6"/>
        <v>52816 : Comprehensive health svcs</v>
      </c>
    </row>
    <row r="444" spans="1:7">
      <c r="A444" s="5" t="s">
        <v>1715</v>
      </c>
      <c r="B444" s="5" t="s">
        <v>325</v>
      </c>
      <c r="C444" s="5" t="s">
        <v>353</v>
      </c>
      <c r="D444" s="5" t="s">
        <v>2367</v>
      </c>
      <c r="E444" s="5" t="s">
        <v>2368</v>
      </c>
      <c r="F444" s="5" t="s">
        <v>2369</v>
      </c>
      <c r="G444" t="str">
        <f t="shared" si="6"/>
        <v>52811 : Disease prevention &amp; ctrl</v>
      </c>
    </row>
    <row r="445" spans="1:7">
      <c r="A445" s="5" t="s">
        <v>1715</v>
      </c>
      <c r="B445" s="5" t="s">
        <v>325</v>
      </c>
      <c r="C445" s="5" t="s">
        <v>354</v>
      </c>
      <c r="D445" s="5" t="s">
        <v>2370</v>
      </c>
      <c r="E445" s="5" t="s">
        <v>2368</v>
      </c>
      <c r="F445" s="5" t="s">
        <v>2369</v>
      </c>
      <c r="G445" t="str">
        <f t="shared" si="6"/>
        <v>52811 : Med practice</v>
      </c>
    </row>
    <row r="446" spans="1:7">
      <c r="A446" s="5" t="s">
        <v>1715</v>
      </c>
      <c r="B446" s="5" t="s">
        <v>325</v>
      </c>
      <c r="C446" s="5" t="s">
        <v>384</v>
      </c>
      <c r="D446" s="5" t="s">
        <v>2371</v>
      </c>
      <c r="E446" s="5" t="s">
        <v>2368</v>
      </c>
      <c r="F446" s="5" t="s">
        <v>2369</v>
      </c>
      <c r="G446" t="str">
        <f t="shared" si="6"/>
        <v>52811 : Med research</v>
      </c>
    </row>
    <row r="447" spans="1:7">
      <c r="A447" s="5" t="s">
        <v>1715</v>
      </c>
      <c r="B447" s="5" t="s">
        <v>325</v>
      </c>
      <c r="C447" s="5" t="s">
        <v>385</v>
      </c>
      <c r="D447" s="5" t="s">
        <v>2372</v>
      </c>
      <c r="E447" s="5" t="s">
        <v>2368</v>
      </c>
      <c r="F447" s="5" t="s">
        <v>2369</v>
      </c>
      <c r="G447" t="str">
        <f t="shared" si="6"/>
        <v>52811 : Holistic medicine</v>
      </c>
    </row>
    <row r="448" spans="1:7">
      <c r="A448" s="5" t="s">
        <v>1715</v>
      </c>
      <c r="B448" s="5" t="s">
        <v>325</v>
      </c>
      <c r="C448" s="5" t="s">
        <v>386</v>
      </c>
      <c r="D448" s="5" t="s">
        <v>2373</v>
      </c>
      <c r="E448" s="5" t="s">
        <v>2292</v>
      </c>
      <c r="F448" s="5" t="s">
        <v>2293</v>
      </c>
      <c r="G448" t="str">
        <f t="shared" si="6"/>
        <v>52810 : Food &amp; nutrition svcs</v>
      </c>
    </row>
    <row r="449" spans="1:7">
      <c r="A449" s="5" t="s">
        <v>1715</v>
      </c>
      <c r="B449" s="5" t="s">
        <v>325</v>
      </c>
      <c r="C449" s="5" t="s">
        <v>481</v>
      </c>
      <c r="D449" s="5" t="s">
        <v>481</v>
      </c>
      <c r="E449" s="5" t="s">
        <v>2289</v>
      </c>
      <c r="F449" s="5" t="s">
        <v>2290</v>
      </c>
      <c r="G449" t="str">
        <f t="shared" si="6"/>
        <v>52808 : 900</v>
      </c>
    </row>
    <row r="450" spans="1:7">
      <c r="A450" s="5" t="s">
        <v>1715</v>
      </c>
      <c r="B450" s="5" t="s">
        <v>325</v>
      </c>
      <c r="C450" s="5" t="s">
        <v>407</v>
      </c>
      <c r="D450" s="5" t="s">
        <v>407</v>
      </c>
      <c r="E450" s="5" t="s">
        <v>2295</v>
      </c>
      <c r="F450" s="5" t="s">
        <v>2296</v>
      </c>
      <c r="G450" t="str">
        <f t="shared" si="6"/>
        <v>52816 : 9100000000</v>
      </c>
    </row>
    <row r="451" spans="1:7">
      <c r="A451" s="5" t="s">
        <v>1715</v>
      </c>
      <c r="B451" s="5" t="s">
        <v>325</v>
      </c>
      <c r="C451" s="5" t="s">
        <v>406</v>
      </c>
      <c r="D451" s="5" t="s">
        <v>2374</v>
      </c>
      <c r="E451" s="5" t="s">
        <v>2295</v>
      </c>
      <c r="F451" s="5" t="s">
        <v>2296</v>
      </c>
      <c r="G451" t="str">
        <f t="shared" si="6"/>
        <v>52816 : Personal appearance</v>
      </c>
    </row>
    <row r="452" spans="1:7">
      <c r="A452" s="5" t="s">
        <v>1715</v>
      </c>
      <c r="B452" s="5" t="s">
        <v>325</v>
      </c>
      <c r="C452" s="5" t="s">
        <v>408</v>
      </c>
      <c r="D452" s="5" t="s">
        <v>2375</v>
      </c>
      <c r="E452" s="5" t="s">
        <v>2337</v>
      </c>
      <c r="F452" s="5" t="s">
        <v>2338</v>
      </c>
      <c r="G452" t="str">
        <f t="shared" ref="G452:G515" si="7">CONCATENATE(E452, " : ", D452)</f>
        <v>52807 : Domestic &amp; personal assistance</v>
      </c>
    </row>
    <row r="453" spans="1:7">
      <c r="A453" s="5" t="s">
        <v>1715</v>
      </c>
      <c r="B453" s="5" t="s">
        <v>325</v>
      </c>
      <c r="C453" s="5" t="s">
        <v>414</v>
      </c>
      <c r="D453" s="5" t="s">
        <v>414</v>
      </c>
      <c r="E453" s="5" t="s">
        <v>2376</v>
      </c>
      <c r="F453" s="5" t="s">
        <v>2377</v>
      </c>
      <c r="G453" t="str">
        <f t="shared" si="7"/>
        <v>52814 : 9200000000</v>
      </c>
    </row>
    <row r="454" spans="1:7">
      <c r="A454" s="5" t="s">
        <v>1715</v>
      </c>
      <c r="B454" s="5" t="s">
        <v>325</v>
      </c>
      <c r="C454" s="5" t="s">
        <v>409</v>
      </c>
      <c r="D454" s="5" t="s">
        <v>2378</v>
      </c>
      <c r="E454" s="5" t="s">
        <v>2376</v>
      </c>
      <c r="F454" s="5" t="s">
        <v>2377</v>
      </c>
      <c r="G454" t="str">
        <f t="shared" si="7"/>
        <v>52814 : Public order &amp; safety</v>
      </c>
    </row>
    <row r="455" spans="1:7">
      <c r="A455" s="5" t="s">
        <v>1715</v>
      </c>
      <c r="B455" s="5" t="s">
        <v>325</v>
      </c>
      <c r="C455" s="5" t="s">
        <v>415</v>
      </c>
      <c r="D455" s="5" t="s">
        <v>2379</v>
      </c>
      <c r="E455" s="5" t="s">
        <v>2295</v>
      </c>
      <c r="F455" s="5" t="s">
        <v>2296</v>
      </c>
      <c r="G455" t="str">
        <f t="shared" si="7"/>
        <v>52816 : Military svcs</v>
      </c>
    </row>
    <row r="456" spans="1:7">
      <c r="A456" s="5" t="s">
        <v>1715</v>
      </c>
      <c r="B456" s="5" t="s">
        <v>325</v>
      </c>
      <c r="C456" s="5" t="s">
        <v>490</v>
      </c>
      <c r="D456" s="5" t="s">
        <v>490</v>
      </c>
      <c r="E456" s="5" t="s">
        <v>2376</v>
      </c>
      <c r="F456" s="5" t="s">
        <v>2377</v>
      </c>
      <c r="G456" t="str">
        <f t="shared" si="7"/>
        <v>52814 : 9212150000</v>
      </c>
    </row>
    <row r="457" spans="1:7">
      <c r="A457" s="5" t="s">
        <v>1715</v>
      </c>
      <c r="B457" s="5" t="s">
        <v>325</v>
      </c>
      <c r="C457" s="5" t="s">
        <v>489</v>
      </c>
      <c r="D457" s="5" t="s">
        <v>2380</v>
      </c>
      <c r="E457" s="5" t="s">
        <v>2376</v>
      </c>
      <c r="F457" s="5" t="s">
        <v>2377</v>
      </c>
      <c r="G457" t="str">
        <f t="shared" si="7"/>
        <v>52814 : Security Guard Services</v>
      </c>
    </row>
    <row r="458" spans="1:7">
      <c r="A458" s="5" t="s">
        <v>1715</v>
      </c>
      <c r="B458" s="5" t="s">
        <v>325</v>
      </c>
      <c r="C458" s="5" t="s">
        <v>439</v>
      </c>
      <c r="D458" s="5" t="s">
        <v>439</v>
      </c>
      <c r="E458" s="5" t="s">
        <v>2292</v>
      </c>
      <c r="F458" s="5" t="s">
        <v>2293</v>
      </c>
      <c r="G458" t="str">
        <f t="shared" si="7"/>
        <v>52810 : 9300000000</v>
      </c>
    </row>
    <row r="459" spans="1:7">
      <c r="A459" s="5" t="s">
        <v>1715</v>
      </c>
      <c r="B459" s="5" t="s">
        <v>325</v>
      </c>
      <c r="C459" s="5" t="s">
        <v>438</v>
      </c>
      <c r="D459" s="5" t="s">
        <v>2381</v>
      </c>
      <c r="E459" s="5" t="s">
        <v>2292</v>
      </c>
      <c r="F459" s="5" t="s">
        <v>2293</v>
      </c>
      <c r="G459" t="str">
        <f t="shared" si="7"/>
        <v>52810 : Political syst &amp; institutions</v>
      </c>
    </row>
    <row r="460" spans="1:7">
      <c r="A460" s="5" t="s">
        <v>1715</v>
      </c>
      <c r="B460" s="5" t="s">
        <v>325</v>
      </c>
      <c r="C460" s="5" t="s">
        <v>416</v>
      </c>
      <c r="D460" s="5" t="s">
        <v>2382</v>
      </c>
      <c r="E460" s="5" t="s">
        <v>2295</v>
      </c>
      <c r="F460" s="5" t="s">
        <v>2296</v>
      </c>
      <c r="G460" t="str">
        <f t="shared" si="7"/>
        <v>52816 : Socio political conditions</v>
      </c>
    </row>
    <row r="461" spans="1:7">
      <c r="A461" s="5" t="s">
        <v>1715</v>
      </c>
      <c r="B461" s="5" t="s">
        <v>325</v>
      </c>
      <c r="C461" s="5" t="s">
        <v>417</v>
      </c>
      <c r="D461" s="5" t="s">
        <v>2383</v>
      </c>
      <c r="E461" s="5" t="s">
        <v>2295</v>
      </c>
      <c r="F461" s="5" t="s">
        <v>2296</v>
      </c>
      <c r="G461" t="str">
        <f t="shared" si="7"/>
        <v>52816 : International relations</v>
      </c>
    </row>
    <row r="462" spans="1:7">
      <c r="A462" s="5" t="s">
        <v>1715</v>
      </c>
      <c r="B462" s="5" t="s">
        <v>325</v>
      </c>
      <c r="C462" s="5" t="s">
        <v>440</v>
      </c>
      <c r="D462" s="5" t="s">
        <v>2384</v>
      </c>
      <c r="E462" s="5" t="s">
        <v>2295</v>
      </c>
      <c r="F462" s="5" t="s">
        <v>2296</v>
      </c>
      <c r="G462" t="str">
        <f t="shared" si="7"/>
        <v>52816 : Humanitarian aid &amp; relief</v>
      </c>
    </row>
    <row r="463" spans="1:7">
      <c r="A463" s="5" t="s">
        <v>1715</v>
      </c>
      <c r="B463" s="5" t="s">
        <v>325</v>
      </c>
      <c r="C463" s="5" t="s">
        <v>441</v>
      </c>
      <c r="D463" s="5" t="s">
        <v>2385</v>
      </c>
      <c r="E463" s="5" t="s">
        <v>2295</v>
      </c>
      <c r="F463" s="5" t="s">
        <v>2296</v>
      </c>
      <c r="G463" t="str">
        <f t="shared" si="7"/>
        <v>52816 : Community &amp; social svcs</v>
      </c>
    </row>
    <row r="464" spans="1:7">
      <c r="A464" s="5" t="s">
        <v>1715</v>
      </c>
      <c r="B464" s="5" t="s">
        <v>325</v>
      </c>
      <c r="C464" s="5" t="s">
        <v>442</v>
      </c>
      <c r="D464" s="5" t="s">
        <v>2386</v>
      </c>
      <c r="E464" s="5" t="s">
        <v>2295</v>
      </c>
      <c r="F464" s="5" t="s">
        <v>2296</v>
      </c>
      <c r="G464" t="str">
        <f t="shared" si="7"/>
        <v>52816 : Public admin &amp; finance svcs</v>
      </c>
    </row>
    <row r="465" spans="1:7">
      <c r="A465" s="5" t="s">
        <v>1715</v>
      </c>
      <c r="B465" s="5" t="s">
        <v>325</v>
      </c>
      <c r="C465" s="5" t="s">
        <v>443</v>
      </c>
      <c r="D465" s="5" t="s">
        <v>2387</v>
      </c>
      <c r="E465" s="5" t="s">
        <v>2295</v>
      </c>
      <c r="F465" s="5" t="s">
        <v>2296</v>
      </c>
      <c r="G465" t="str">
        <f t="shared" si="7"/>
        <v>52816 : Trade policy &amp; regulation</v>
      </c>
    </row>
    <row r="466" spans="1:7">
      <c r="A466" s="5" t="s">
        <v>1715</v>
      </c>
      <c r="B466" s="5" t="s">
        <v>325</v>
      </c>
      <c r="C466" s="5" t="s">
        <v>448</v>
      </c>
      <c r="D466" s="5" t="s">
        <v>2388</v>
      </c>
      <c r="E466" s="5" t="s">
        <v>2295</v>
      </c>
      <c r="F466" s="5" t="s">
        <v>2296</v>
      </c>
      <c r="G466" t="str">
        <f t="shared" si="7"/>
        <v>52816 : Civic orgs &amp; assoc &amp; movements</v>
      </c>
    </row>
    <row r="467" spans="1:7">
      <c r="A467" s="5" t="s">
        <v>1715</v>
      </c>
      <c r="B467" s="5" t="s">
        <v>325</v>
      </c>
      <c r="C467" s="5" t="s">
        <v>334</v>
      </c>
      <c r="D467" s="5" t="s">
        <v>334</v>
      </c>
      <c r="E467" s="5" t="s">
        <v>1766</v>
      </c>
      <c r="F467" s="5" t="s">
        <v>2389</v>
      </c>
      <c r="G467" t="str">
        <f t="shared" si="7"/>
        <v>53051 : 1500000000</v>
      </c>
    </row>
    <row r="468" spans="1:7">
      <c r="A468" s="5" t="s">
        <v>1715</v>
      </c>
      <c r="B468" s="5" t="s">
        <v>325</v>
      </c>
      <c r="C468" s="5" t="s">
        <v>333</v>
      </c>
      <c r="D468" s="5" t="s">
        <v>2390</v>
      </c>
      <c r="E468" s="5" t="s">
        <v>1766</v>
      </c>
      <c r="F468" s="5" t="s">
        <v>2389</v>
      </c>
      <c r="G468" t="str">
        <f t="shared" si="7"/>
        <v>53051 : Fuels</v>
      </c>
    </row>
    <row r="469" spans="1:7">
      <c r="A469" s="5" t="s">
        <v>1715</v>
      </c>
      <c r="B469" s="5" t="s">
        <v>325</v>
      </c>
      <c r="C469" s="5" t="s">
        <v>434</v>
      </c>
      <c r="D469" s="5" t="s">
        <v>434</v>
      </c>
      <c r="E469" s="5" t="s">
        <v>1770</v>
      </c>
      <c r="F469" s="5" t="s">
        <v>2391</v>
      </c>
      <c r="G469" t="str">
        <f t="shared" si="7"/>
        <v>53056 : 8300000000</v>
      </c>
    </row>
    <row r="470" spans="1:7">
      <c r="A470" s="5" t="s">
        <v>1715</v>
      </c>
      <c r="B470" s="5" t="s">
        <v>325</v>
      </c>
      <c r="C470" s="5" t="s">
        <v>513</v>
      </c>
      <c r="D470" s="5" t="s">
        <v>2392</v>
      </c>
      <c r="E470" s="5" t="s">
        <v>1770</v>
      </c>
      <c r="F470" s="5" t="s">
        <v>2391</v>
      </c>
      <c r="G470" t="str">
        <f t="shared" si="7"/>
        <v>53056 : Water &amp; Sewer (Utilities)</v>
      </c>
    </row>
    <row r="471" spans="1:7">
      <c r="A471" s="5" t="s">
        <v>1715</v>
      </c>
      <c r="B471" s="5" t="s">
        <v>325</v>
      </c>
      <c r="C471" s="5" t="s">
        <v>477</v>
      </c>
      <c r="D471" s="5" t="s">
        <v>2393</v>
      </c>
      <c r="E471" s="5" t="s">
        <v>2394</v>
      </c>
      <c r="F471" s="5" t="s">
        <v>2395</v>
      </c>
      <c r="G471" t="str">
        <f t="shared" si="7"/>
        <v>53104 : Building Maintenance</v>
      </c>
    </row>
    <row r="472" spans="1:7">
      <c r="A472" s="5" t="s">
        <v>1715</v>
      </c>
      <c r="B472" s="5" t="s">
        <v>325</v>
      </c>
      <c r="C472" s="5" t="s">
        <v>495</v>
      </c>
      <c r="D472" s="5" t="s">
        <v>2396</v>
      </c>
      <c r="E472" s="5" t="s">
        <v>1772</v>
      </c>
      <c r="F472" s="5" t="s">
        <v>2395</v>
      </c>
      <c r="G472" t="str">
        <f t="shared" si="7"/>
        <v>53101 : Elevator Maintenance</v>
      </c>
    </row>
    <row r="473" spans="1:7">
      <c r="A473" s="5" t="s">
        <v>1715</v>
      </c>
      <c r="B473" s="5" t="s">
        <v>325</v>
      </c>
      <c r="C473" s="5" t="s">
        <v>496</v>
      </c>
      <c r="D473" s="5" t="s">
        <v>2397</v>
      </c>
      <c r="E473" s="5" t="s">
        <v>2398</v>
      </c>
      <c r="F473" s="5" t="s">
        <v>2399</v>
      </c>
      <c r="G473" t="str">
        <f t="shared" si="7"/>
        <v>53103 : Fire Protection Maintenance</v>
      </c>
    </row>
    <row r="474" spans="1:7">
      <c r="A474" s="5" t="s">
        <v>1715</v>
      </c>
      <c r="B474" s="5" t="s">
        <v>325</v>
      </c>
      <c r="C474" s="5" t="s">
        <v>510</v>
      </c>
      <c r="D474" s="5" t="s">
        <v>2400</v>
      </c>
      <c r="E474" s="5" t="s">
        <v>2401</v>
      </c>
      <c r="F474" s="5" t="s">
        <v>2402</v>
      </c>
      <c r="G474" t="str">
        <f t="shared" si="7"/>
        <v>53105 : HVAC Maintenance</v>
      </c>
    </row>
    <row r="475" spans="1:7">
      <c r="A475" s="5" t="s">
        <v>1715</v>
      </c>
      <c r="B475" s="5" t="s">
        <v>325</v>
      </c>
      <c r="C475" s="5" t="s">
        <v>509</v>
      </c>
      <c r="D475" s="5" t="s">
        <v>509</v>
      </c>
      <c r="E475" s="5" t="s">
        <v>2403</v>
      </c>
      <c r="F475" s="5" t="s">
        <v>2404</v>
      </c>
      <c r="G475" t="str">
        <f t="shared" si="7"/>
        <v>53102 : 7210210000</v>
      </c>
    </row>
    <row r="476" spans="1:7">
      <c r="A476" s="5" t="s">
        <v>1715</v>
      </c>
      <c r="B476" s="5" t="s">
        <v>325</v>
      </c>
      <c r="C476" s="5" t="s">
        <v>508</v>
      </c>
      <c r="D476" s="5" t="s">
        <v>2405</v>
      </c>
      <c r="E476" s="5" t="s">
        <v>2403</v>
      </c>
      <c r="F476" s="5" t="s">
        <v>2404</v>
      </c>
      <c r="G476" t="str">
        <f t="shared" si="7"/>
        <v>53102 : Exterminating</v>
      </c>
    </row>
    <row r="477" spans="1:7">
      <c r="A477" s="5" t="s">
        <v>1715</v>
      </c>
      <c r="B477" s="5" t="s">
        <v>325</v>
      </c>
      <c r="C477" s="5" t="s">
        <v>497</v>
      </c>
      <c r="D477" s="5" t="s">
        <v>2406</v>
      </c>
      <c r="E477" s="5" t="s">
        <v>2394</v>
      </c>
      <c r="F477" s="5" t="s">
        <v>2395</v>
      </c>
      <c r="G477" t="str">
        <f t="shared" si="7"/>
        <v>53104 : Facilities Maintenance/Repair</v>
      </c>
    </row>
    <row r="478" spans="1:7">
      <c r="A478" s="5" t="s">
        <v>1715</v>
      </c>
      <c r="B478" s="5" t="s">
        <v>325</v>
      </c>
      <c r="C478" s="5" t="s">
        <v>328</v>
      </c>
      <c r="D478" s="5" t="s">
        <v>2407</v>
      </c>
      <c r="E478" s="5" t="s">
        <v>1776</v>
      </c>
      <c r="F478" s="5" t="s">
        <v>2395</v>
      </c>
      <c r="G478" t="str">
        <f t="shared" si="7"/>
        <v>53109 : Seeds bulbs seedlings cuttings</v>
      </c>
    </row>
    <row r="479" spans="1:7">
      <c r="A479" s="5" t="s">
        <v>1715</v>
      </c>
      <c r="B479" s="5" t="s">
        <v>325</v>
      </c>
      <c r="C479" s="5" t="s">
        <v>329</v>
      </c>
      <c r="D479" s="5" t="s">
        <v>2408</v>
      </c>
      <c r="E479" s="5" t="s">
        <v>1776</v>
      </c>
      <c r="F479" s="5" t="s">
        <v>2395</v>
      </c>
      <c r="G479" t="str">
        <f t="shared" si="7"/>
        <v>53109 : Floriculture silviculture prod</v>
      </c>
    </row>
    <row r="480" spans="1:7">
      <c r="A480" s="5" t="s">
        <v>1715</v>
      </c>
      <c r="B480" s="5" t="s">
        <v>325</v>
      </c>
      <c r="C480" s="5" t="s">
        <v>327</v>
      </c>
      <c r="D480" s="5" t="s">
        <v>2409</v>
      </c>
      <c r="E480" s="5" t="s">
        <v>1776</v>
      </c>
      <c r="F480" s="5" t="s">
        <v>2395</v>
      </c>
      <c r="G480" t="str">
        <f t="shared" si="7"/>
        <v>53109 : Fertilizer nutrients herbicide</v>
      </c>
    </row>
    <row r="481" spans="1:7">
      <c r="A481" s="5" t="s">
        <v>1715</v>
      </c>
      <c r="B481" s="5" t="s">
        <v>325</v>
      </c>
      <c r="C481" s="5" t="s">
        <v>326</v>
      </c>
      <c r="D481" s="5" t="s">
        <v>2410</v>
      </c>
      <c r="E481" s="5" t="s">
        <v>1776</v>
      </c>
      <c r="F481" s="5" t="s">
        <v>2395</v>
      </c>
      <c r="G481" t="str">
        <f t="shared" si="7"/>
        <v>53109 : Fertilizers &amp; herbicides - Haz</v>
      </c>
    </row>
    <row r="482" spans="1:7">
      <c r="A482" s="5" t="s">
        <v>1715</v>
      </c>
      <c r="B482" s="5" t="s">
        <v>325</v>
      </c>
      <c r="C482" s="5" t="s">
        <v>330</v>
      </c>
      <c r="D482" s="5" t="s">
        <v>2411</v>
      </c>
      <c r="E482" s="5" t="s">
        <v>1776</v>
      </c>
      <c r="F482" s="5" t="s">
        <v>2395</v>
      </c>
      <c r="G482" t="str">
        <f t="shared" si="7"/>
        <v>53109 : Fertilizers &amp; herbicides - Grn</v>
      </c>
    </row>
    <row r="483" spans="1:7">
      <c r="A483" s="5" t="s">
        <v>1715</v>
      </c>
      <c r="B483" s="5" t="s">
        <v>325</v>
      </c>
      <c r="C483" s="5" t="s">
        <v>331</v>
      </c>
      <c r="D483" s="5" t="s">
        <v>2412</v>
      </c>
      <c r="E483" s="5" t="s">
        <v>1776</v>
      </c>
      <c r="F483" s="5" t="s">
        <v>2395</v>
      </c>
      <c r="G483" t="str">
        <f t="shared" si="7"/>
        <v>53109 : Earth &amp; stone</v>
      </c>
    </row>
    <row r="484" spans="1:7">
      <c r="A484" s="5" t="s">
        <v>1715</v>
      </c>
      <c r="B484" s="5" t="s">
        <v>325</v>
      </c>
      <c r="C484" s="5" t="s">
        <v>332</v>
      </c>
      <c r="D484" s="5" t="s">
        <v>2413</v>
      </c>
      <c r="E484" s="5" t="s">
        <v>1776</v>
      </c>
      <c r="F484" s="5" t="s">
        <v>2395</v>
      </c>
      <c r="G484" t="str">
        <f t="shared" si="7"/>
        <v>53109 : Non edible plant frstry prod</v>
      </c>
    </row>
    <row r="485" spans="1:7">
      <c r="A485" s="5" t="s">
        <v>1715</v>
      </c>
      <c r="B485" s="5" t="s">
        <v>325</v>
      </c>
      <c r="C485" s="5" t="s">
        <v>337</v>
      </c>
      <c r="D485" s="5" t="s">
        <v>2414</v>
      </c>
      <c r="E485" s="5" t="s">
        <v>1776</v>
      </c>
      <c r="F485" s="5" t="s">
        <v>2395</v>
      </c>
      <c r="G485" t="str">
        <f t="shared" si="7"/>
        <v>53109 : Roads &amp; lndscp</v>
      </c>
    </row>
    <row r="486" spans="1:7">
      <c r="A486" s="5" t="s">
        <v>1715</v>
      </c>
      <c r="B486" s="5" t="s">
        <v>325</v>
      </c>
      <c r="C486" s="5" t="s">
        <v>418</v>
      </c>
      <c r="D486" s="5" t="s">
        <v>2415</v>
      </c>
      <c r="E486" s="5" t="s">
        <v>1776</v>
      </c>
      <c r="F486" s="5" t="s">
        <v>2395</v>
      </c>
      <c r="G486" t="str">
        <f t="shared" si="7"/>
        <v>53109 : Horticulture</v>
      </c>
    </row>
    <row r="487" spans="1:7">
      <c r="A487" s="5" t="s">
        <v>1715</v>
      </c>
      <c r="B487" s="5" t="s">
        <v>325</v>
      </c>
      <c r="C487" s="5" t="s">
        <v>396</v>
      </c>
      <c r="D487" s="5" t="s">
        <v>396</v>
      </c>
      <c r="E487" s="5" t="s">
        <v>1780</v>
      </c>
      <c r="F487" s="5" t="s">
        <v>2416</v>
      </c>
      <c r="G487" t="str">
        <f t="shared" si="7"/>
        <v>53112 : 7613000000</v>
      </c>
    </row>
    <row r="488" spans="1:7">
      <c r="A488" s="5" t="s">
        <v>1715</v>
      </c>
      <c r="B488" s="5" t="s">
        <v>325</v>
      </c>
      <c r="C488" s="5" t="s">
        <v>395</v>
      </c>
      <c r="D488" s="5" t="s">
        <v>2417</v>
      </c>
      <c r="E488" s="5" t="s">
        <v>1780</v>
      </c>
      <c r="F488" s="5" t="s">
        <v>2416</v>
      </c>
      <c r="G488" t="str">
        <f t="shared" si="7"/>
        <v>53112 : Toxic waste cleanup - Haz</v>
      </c>
    </row>
    <row r="489" spans="1:7">
      <c r="A489" s="5" t="s">
        <v>1715</v>
      </c>
      <c r="B489" s="5" t="s">
        <v>325</v>
      </c>
      <c r="C489" s="5" t="s">
        <v>368</v>
      </c>
      <c r="D489" s="5" t="s">
        <v>2418</v>
      </c>
      <c r="E489" s="5" t="s">
        <v>1782</v>
      </c>
      <c r="F489" s="5" t="s">
        <v>2416</v>
      </c>
      <c r="G489" t="str">
        <f t="shared" si="7"/>
        <v>53113 : Waste disposl &amp; treatmnt</v>
      </c>
    </row>
    <row r="490" spans="1:7">
      <c r="A490" s="5" t="s">
        <v>1715</v>
      </c>
      <c r="B490" s="5" t="s">
        <v>325</v>
      </c>
      <c r="C490" s="5" t="s">
        <v>369</v>
      </c>
      <c r="D490" s="5" t="s">
        <v>2419</v>
      </c>
      <c r="E490" s="5" t="s">
        <v>1782</v>
      </c>
      <c r="F490" s="5" t="s">
        <v>2416</v>
      </c>
      <c r="G490" t="str">
        <f t="shared" si="7"/>
        <v>53113 : Waste disposl &amp; treatmnt - Haz</v>
      </c>
    </row>
    <row r="491" spans="1:7">
      <c r="A491" s="5" t="s">
        <v>1715</v>
      </c>
      <c r="B491" s="5" t="s">
        <v>325</v>
      </c>
      <c r="C491" s="5" t="s">
        <v>381</v>
      </c>
      <c r="D491" s="5" t="s">
        <v>2420</v>
      </c>
      <c r="E491" s="5" t="s">
        <v>1786</v>
      </c>
      <c r="F491" s="5" t="s">
        <v>2194</v>
      </c>
      <c r="G491" t="str">
        <f t="shared" si="7"/>
        <v>53154 : Trnsprtn repair or mntnc svcs</v>
      </c>
    </row>
    <row r="492" spans="1:7">
      <c r="A492" s="5" t="s">
        <v>1715</v>
      </c>
      <c r="B492" s="5" t="s">
        <v>325</v>
      </c>
      <c r="C492" s="5" t="s">
        <v>476</v>
      </c>
      <c r="D492" s="5" t="s">
        <v>2421</v>
      </c>
      <c r="E492" s="5" t="s">
        <v>1786</v>
      </c>
      <c r="F492" s="5" t="s">
        <v>2194</v>
      </c>
      <c r="G492" t="str">
        <f t="shared" si="7"/>
        <v>53154 : P-CARD Vehicle Expenses</v>
      </c>
    </row>
    <row r="493" spans="1:7">
      <c r="A493" s="5" t="s">
        <v>1715</v>
      </c>
      <c r="B493" s="5" t="s">
        <v>325</v>
      </c>
      <c r="C493" s="5" t="s">
        <v>512</v>
      </c>
      <c r="D493" s="5" t="s">
        <v>512</v>
      </c>
      <c r="E493" s="5" t="s">
        <v>1790</v>
      </c>
      <c r="F493" s="5" t="s">
        <v>2422</v>
      </c>
      <c r="G493" t="str">
        <f t="shared" si="7"/>
        <v>53204 : 7210330000</v>
      </c>
    </row>
    <row r="494" spans="1:7">
      <c r="A494" s="5" t="s">
        <v>1715</v>
      </c>
      <c r="B494" s="5" t="s">
        <v>325</v>
      </c>
      <c r="C494" s="5" t="s">
        <v>511</v>
      </c>
      <c r="D494" s="5" t="s">
        <v>2423</v>
      </c>
      <c r="E494" s="5" t="s">
        <v>1790</v>
      </c>
      <c r="F494" s="5" t="s">
        <v>2422</v>
      </c>
      <c r="G494" t="str">
        <f t="shared" si="7"/>
        <v>53204 : Telecom Maintenance</v>
      </c>
    </row>
    <row r="495" spans="1:7">
      <c r="A495" s="5" t="s">
        <v>1715</v>
      </c>
      <c r="B495" s="5" t="s">
        <v>325</v>
      </c>
      <c r="C495" s="5" t="s">
        <v>430</v>
      </c>
      <c r="D495" s="5" t="s">
        <v>2424</v>
      </c>
      <c r="E495" s="5" t="s">
        <v>1790</v>
      </c>
      <c r="F495" s="5" t="s">
        <v>2422</v>
      </c>
      <c r="G495" t="str">
        <f t="shared" si="7"/>
        <v>53204 : IT Service Delivery</v>
      </c>
    </row>
    <row r="496" spans="1:7">
      <c r="A496" s="5" t="s">
        <v>1715</v>
      </c>
      <c r="B496" s="5" t="s">
        <v>325</v>
      </c>
      <c r="C496" s="5" t="s">
        <v>345</v>
      </c>
      <c r="D496" s="5" t="s">
        <v>2425</v>
      </c>
      <c r="E496" s="5" t="s">
        <v>2426</v>
      </c>
      <c r="F496" s="5" t="s">
        <v>1904</v>
      </c>
      <c r="G496" t="str">
        <f t="shared" si="7"/>
        <v>53202 : Telecommunications media svcs</v>
      </c>
    </row>
    <row r="497" spans="1:7">
      <c r="A497" s="5" t="s">
        <v>1715</v>
      </c>
      <c r="B497" s="5" t="s">
        <v>325</v>
      </c>
      <c r="C497" s="5" t="s">
        <v>504</v>
      </c>
      <c r="D497" s="5" t="s">
        <v>2427</v>
      </c>
      <c r="E497" s="5" t="s">
        <v>2428</v>
      </c>
      <c r="F497" s="5" t="s">
        <v>2429</v>
      </c>
      <c r="G497" t="str">
        <f t="shared" si="7"/>
        <v>53203 : P-CARD Phone &amp; Data Charges</v>
      </c>
    </row>
    <row r="498" spans="1:7">
      <c r="A498" s="5" t="s">
        <v>1715</v>
      </c>
      <c r="B498" s="5" t="s">
        <v>325</v>
      </c>
      <c r="C498" s="5" t="s">
        <v>424</v>
      </c>
      <c r="D498" s="5" t="s">
        <v>2430</v>
      </c>
      <c r="E498" s="5" t="s">
        <v>1792</v>
      </c>
      <c r="F498" s="5" t="s">
        <v>2431</v>
      </c>
      <c r="G498" t="str">
        <f t="shared" si="7"/>
        <v>53251 : Real estate svcs</v>
      </c>
    </row>
    <row r="499" spans="1:7">
      <c r="A499" s="5" t="s">
        <v>1715</v>
      </c>
      <c r="B499" s="5" t="s">
        <v>325</v>
      </c>
      <c r="C499" s="5" t="s">
        <v>335</v>
      </c>
      <c r="D499" s="5" t="s">
        <v>2432</v>
      </c>
      <c r="E499" s="5" t="s">
        <v>1814</v>
      </c>
      <c r="F499" s="5" t="s">
        <v>2433</v>
      </c>
      <c r="G499" t="str">
        <f t="shared" si="7"/>
        <v>53910 : Software &lt;$1K</v>
      </c>
    </row>
    <row r="500" spans="1:7">
      <c r="A500" s="5" t="s">
        <v>1715</v>
      </c>
      <c r="B500" s="5" t="s">
        <v>325</v>
      </c>
      <c r="C500" s="5" t="s">
        <v>2434</v>
      </c>
      <c r="D500" s="5" t="s">
        <v>2435</v>
      </c>
      <c r="E500" s="5" t="s">
        <v>1814</v>
      </c>
      <c r="F500" s="5" t="s">
        <v>2433</v>
      </c>
      <c r="G500" t="str">
        <f t="shared" si="7"/>
        <v>53910 : Software &lt;$5K asset</v>
      </c>
    </row>
    <row r="501" spans="1:7">
      <c r="A501" s="5" t="s">
        <v>1715</v>
      </c>
      <c r="B501" s="5" t="s">
        <v>325</v>
      </c>
      <c r="C501" s="5" t="s">
        <v>506</v>
      </c>
      <c r="D501" s="5" t="s">
        <v>506</v>
      </c>
      <c r="E501" s="5" t="s">
        <v>1816</v>
      </c>
      <c r="F501" s="5" t="s">
        <v>2355</v>
      </c>
      <c r="G501" t="str">
        <f t="shared" si="7"/>
        <v>54001 : 7215000000</v>
      </c>
    </row>
    <row r="502" spans="1:7">
      <c r="A502" s="5" t="s">
        <v>1715</v>
      </c>
      <c r="B502" s="5" t="s">
        <v>325</v>
      </c>
      <c r="C502" s="5" t="s">
        <v>507</v>
      </c>
      <c r="D502" s="5" t="s">
        <v>507</v>
      </c>
      <c r="E502" s="5" t="s">
        <v>1816</v>
      </c>
      <c r="F502" s="5" t="s">
        <v>2355</v>
      </c>
      <c r="G502" t="str">
        <f t="shared" si="7"/>
        <v>54001 : 7215400000</v>
      </c>
    </row>
    <row r="503" spans="1:7">
      <c r="A503" s="5" t="s">
        <v>1715</v>
      </c>
      <c r="B503" s="5" t="s">
        <v>325</v>
      </c>
      <c r="C503" s="5" t="s">
        <v>505</v>
      </c>
      <c r="D503" s="5" t="s">
        <v>2436</v>
      </c>
      <c r="E503" s="5" t="s">
        <v>1816</v>
      </c>
      <c r="F503" s="5" t="s">
        <v>2355</v>
      </c>
      <c r="G503" t="str">
        <f t="shared" si="7"/>
        <v>54001 : Office Equipment Maintenance</v>
      </c>
    </row>
    <row r="504" spans="1:7">
      <c r="A504" s="5" t="s">
        <v>1715</v>
      </c>
      <c r="B504" s="5" t="s">
        <v>325</v>
      </c>
      <c r="C504" s="5" t="s">
        <v>402</v>
      </c>
      <c r="D504" s="5" t="s">
        <v>2437</v>
      </c>
      <c r="E504" s="5" t="s">
        <v>2438</v>
      </c>
      <c r="F504" s="5" t="s">
        <v>2422</v>
      </c>
      <c r="G504" t="str">
        <f t="shared" si="7"/>
        <v>54004 : Storage</v>
      </c>
    </row>
    <row r="505" spans="1:7">
      <c r="A505" s="5" t="s">
        <v>1715</v>
      </c>
      <c r="B505" s="5" t="s">
        <v>325</v>
      </c>
      <c r="C505" s="5" t="s">
        <v>500</v>
      </c>
      <c r="D505" s="5" t="s">
        <v>2439</v>
      </c>
      <c r="E505" s="5" t="s">
        <v>1824</v>
      </c>
      <c r="F505" s="5" t="s">
        <v>2440</v>
      </c>
      <c r="G505" t="str">
        <f t="shared" si="7"/>
        <v>54151 : Payments to Students(stipends)</v>
      </c>
    </row>
    <row r="506" spans="1:7">
      <c r="A506" s="5" t="s">
        <v>1715</v>
      </c>
      <c r="B506" s="5" t="s">
        <v>325</v>
      </c>
      <c r="C506" s="5" t="s">
        <v>501</v>
      </c>
      <c r="D506" s="5" t="s">
        <v>501</v>
      </c>
      <c r="E506" s="5" t="s">
        <v>1824</v>
      </c>
      <c r="F506" s="5" t="s">
        <v>2440</v>
      </c>
      <c r="G506" t="str">
        <f t="shared" si="7"/>
        <v>54151 : 2000</v>
      </c>
    </row>
    <row r="507" spans="1:7">
      <c r="A507" s="5" t="s">
        <v>1715</v>
      </c>
      <c r="B507" s="5" t="s">
        <v>325</v>
      </c>
      <c r="C507" s="5" t="s">
        <v>338</v>
      </c>
      <c r="D507" s="5" t="s">
        <v>2441</v>
      </c>
      <c r="E507" s="5" t="s">
        <v>1832</v>
      </c>
      <c r="F507" s="5" t="s">
        <v>2395</v>
      </c>
      <c r="G507" t="str">
        <f t="shared" si="7"/>
        <v>55001 : Permanent structures</v>
      </c>
    </row>
    <row r="508" spans="1:7">
      <c r="A508" s="5" t="s">
        <v>1715</v>
      </c>
      <c r="B508" s="5" t="s">
        <v>325</v>
      </c>
      <c r="C508" s="5" t="s">
        <v>339</v>
      </c>
      <c r="D508" s="5" t="s">
        <v>2442</v>
      </c>
      <c r="E508" s="5" t="s">
        <v>1832</v>
      </c>
      <c r="F508" s="5" t="s">
        <v>2395</v>
      </c>
      <c r="G508" t="str">
        <f t="shared" si="7"/>
        <v>55001 : Portable Structures</v>
      </c>
    </row>
    <row r="509" spans="1:7">
      <c r="A509" s="5" t="s">
        <v>1715</v>
      </c>
      <c r="B509" s="5" t="s">
        <v>325</v>
      </c>
      <c r="C509" s="5" t="s">
        <v>340</v>
      </c>
      <c r="D509" s="5" t="s">
        <v>2443</v>
      </c>
      <c r="E509" s="5" t="s">
        <v>1832</v>
      </c>
      <c r="F509" s="5" t="s">
        <v>2395</v>
      </c>
      <c r="G509" t="str">
        <f t="shared" si="7"/>
        <v>55001 : Portable Structure bldg parts</v>
      </c>
    </row>
    <row r="510" spans="1:7">
      <c r="A510" s="5" t="s">
        <v>1715</v>
      </c>
      <c r="B510" s="5" t="s">
        <v>325</v>
      </c>
      <c r="C510" s="5" t="s">
        <v>341</v>
      </c>
      <c r="D510" s="5" t="s">
        <v>2444</v>
      </c>
      <c r="E510" s="5" t="s">
        <v>1832</v>
      </c>
      <c r="F510" s="5" t="s">
        <v>2395</v>
      </c>
      <c r="G510" t="str">
        <f t="shared" si="7"/>
        <v>55001 : Underground mining mtrls</v>
      </c>
    </row>
    <row r="511" spans="1:7">
      <c r="A511" s="5" t="s">
        <v>1715</v>
      </c>
      <c r="B511" s="5" t="s">
        <v>325</v>
      </c>
      <c r="C511" s="5" t="s">
        <v>342</v>
      </c>
      <c r="D511" s="5" t="s">
        <v>2445</v>
      </c>
      <c r="E511" s="5" t="s">
        <v>1832</v>
      </c>
      <c r="F511" s="5" t="s">
        <v>2395</v>
      </c>
      <c r="G511" t="str">
        <f t="shared" si="7"/>
        <v>55001 : Underground mining mtrls - Haz</v>
      </c>
    </row>
    <row r="512" spans="1:7">
      <c r="A512" s="5" t="s">
        <v>1715</v>
      </c>
      <c r="B512" s="5" t="s">
        <v>325</v>
      </c>
      <c r="C512" s="5" t="s">
        <v>392</v>
      </c>
      <c r="D512" s="5" t="s">
        <v>392</v>
      </c>
      <c r="E512" s="5" t="s">
        <v>1834</v>
      </c>
      <c r="F512" s="5" t="s">
        <v>2395</v>
      </c>
      <c r="G512" t="str">
        <f t="shared" si="7"/>
        <v>55002 : 7200000000</v>
      </c>
    </row>
    <row r="513" spans="1:7">
      <c r="A513" s="5" t="s">
        <v>1715</v>
      </c>
      <c r="B513" s="5" t="s">
        <v>325</v>
      </c>
      <c r="C513" s="5" t="s">
        <v>391</v>
      </c>
      <c r="D513" s="5" t="s">
        <v>2446</v>
      </c>
      <c r="E513" s="5" t="s">
        <v>1834</v>
      </c>
      <c r="F513" s="5" t="s">
        <v>2395</v>
      </c>
      <c r="G513" t="str">
        <f t="shared" si="7"/>
        <v>55002 : bldg mntnc &amp; repair svcs</v>
      </c>
    </row>
    <row r="514" spans="1:7">
      <c r="A514" s="5" t="s">
        <v>1715</v>
      </c>
      <c r="B514" s="5" t="s">
        <v>325</v>
      </c>
      <c r="C514" s="5" t="s">
        <v>2447</v>
      </c>
      <c r="D514" s="5" t="s">
        <v>2447</v>
      </c>
      <c r="E514" s="5" t="s">
        <v>1834</v>
      </c>
      <c r="F514" s="5" t="s">
        <v>2395</v>
      </c>
      <c r="G514" t="str">
        <f t="shared" si="7"/>
        <v>55002 : 7211000000</v>
      </c>
    </row>
    <row r="515" spans="1:7">
      <c r="A515" s="5" t="s">
        <v>1715</v>
      </c>
      <c r="B515" s="5" t="s">
        <v>325</v>
      </c>
      <c r="C515" s="5" t="s">
        <v>2448</v>
      </c>
      <c r="D515" s="5" t="s">
        <v>2448</v>
      </c>
      <c r="E515" s="5" t="s">
        <v>1834</v>
      </c>
      <c r="F515" s="5" t="s">
        <v>2395</v>
      </c>
      <c r="G515" t="str">
        <f t="shared" si="7"/>
        <v>55002 : 7211110000</v>
      </c>
    </row>
    <row r="516" spans="1:7">
      <c r="A516" s="5" t="s">
        <v>1715</v>
      </c>
      <c r="B516" s="5" t="s">
        <v>325</v>
      </c>
      <c r="C516" s="5" t="s">
        <v>2449</v>
      </c>
      <c r="D516" s="5" t="s">
        <v>2449</v>
      </c>
      <c r="E516" s="5" t="s">
        <v>1834</v>
      </c>
      <c r="F516" s="5" t="s">
        <v>2395</v>
      </c>
      <c r="G516" t="str">
        <f t="shared" ref="G516:G579" si="8">CONCATENATE(E516, " : ", D516)</f>
        <v>55002 : 7211114000</v>
      </c>
    </row>
    <row r="517" spans="1:7">
      <c r="A517" s="5" t="s">
        <v>1715</v>
      </c>
      <c r="B517" s="5" t="s">
        <v>325</v>
      </c>
      <c r="C517" s="5" t="s">
        <v>2450</v>
      </c>
      <c r="D517" s="5" t="s">
        <v>2451</v>
      </c>
      <c r="E517" s="5" t="s">
        <v>1834</v>
      </c>
      <c r="F517" s="5" t="s">
        <v>2395</v>
      </c>
      <c r="G517" t="str">
        <f t="shared" si="8"/>
        <v>55002 : Building Improvements&gt;$25K</v>
      </c>
    </row>
    <row r="518" spans="1:7">
      <c r="A518" s="5" t="s">
        <v>1715</v>
      </c>
      <c r="B518" s="5" t="s">
        <v>325</v>
      </c>
      <c r="C518" s="5" t="s">
        <v>2452</v>
      </c>
      <c r="D518" s="5" t="s">
        <v>2452</v>
      </c>
      <c r="E518" s="5" t="s">
        <v>1834</v>
      </c>
      <c r="F518" s="5" t="s">
        <v>2395</v>
      </c>
      <c r="G518" t="str">
        <f t="shared" si="8"/>
        <v>55002 : 7211119000</v>
      </c>
    </row>
    <row r="519" spans="1:7">
      <c r="A519" s="5" t="s">
        <v>1715</v>
      </c>
      <c r="B519" s="5" t="s">
        <v>325</v>
      </c>
      <c r="C519" s="5" t="s">
        <v>2453</v>
      </c>
      <c r="D519" s="5" t="s">
        <v>2454</v>
      </c>
      <c r="E519" s="5" t="s">
        <v>1834</v>
      </c>
      <c r="F519" s="5" t="s">
        <v>2395</v>
      </c>
      <c r="G519" t="str">
        <f t="shared" si="8"/>
        <v>55002 : Building Improvements Grn&gt;$25K</v>
      </c>
    </row>
    <row r="520" spans="1:7">
      <c r="A520" s="5" t="s">
        <v>1715</v>
      </c>
      <c r="B520" s="5" t="s">
        <v>325</v>
      </c>
      <c r="C520" s="5" t="s">
        <v>393</v>
      </c>
      <c r="D520" s="5" t="s">
        <v>2455</v>
      </c>
      <c r="E520" s="5" t="s">
        <v>1832</v>
      </c>
      <c r="F520" s="5" t="s">
        <v>2395</v>
      </c>
      <c r="G520" t="str">
        <f t="shared" si="8"/>
        <v>55001 : General bldg construction</v>
      </c>
    </row>
    <row r="521" spans="1:7">
      <c r="A521" s="5" t="s">
        <v>1715</v>
      </c>
      <c r="B521" s="5" t="s">
        <v>325</v>
      </c>
      <c r="C521" s="5" t="s">
        <v>2456</v>
      </c>
      <c r="D521" s="5" t="s">
        <v>2457</v>
      </c>
      <c r="E521" s="5" t="s">
        <v>1836</v>
      </c>
      <c r="F521" s="5" t="s">
        <v>2433</v>
      </c>
      <c r="G521" t="str">
        <f t="shared" si="8"/>
        <v>55007 : Software &gt;$5K asset</v>
      </c>
    </row>
    <row r="522" spans="1:7">
      <c r="A522" s="5" t="s">
        <v>1715</v>
      </c>
      <c r="B522" s="5" t="s">
        <v>325</v>
      </c>
      <c r="C522" s="5" t="s">
        <v>488</v>
      </c>
      <c r="D522" s="5" t="s">
        <v>488</v>
      </c>
      <c r="E522" s="5" t="s">
        <v>1836</v>
      </c>
      <c r="F522" s="5" t="s">
        <v>2433</v>
      </c>
      <c r="G522" t="str">
        <f t="shared" si="8"/>
        <v>55007 : 8111180000</v>
      </c>
    </row>
    <row r="523" spans="1:7">
      <c r="A523" s="5" t="s">
        <v>1715</v>
      </c>
      <c r="B523" s="5" t="s">
        <v>325</v>
      </c>
      <c r="C523" s="5" t="s">
        <v>487</v>
      </c>
      <c r="D523" s="5" t="s">
        <v>2458</v>
      </c>
      <c r="E523" s="5" t="s">
        <v>1836</v>
      </c>
      <c r="F523" s="5" t="s">
        <v>2433</v>
      </c>
      <c r="G523" t="str">
        <f t="shared" si="8"/>
        <v>55007 : Software License &amp; Support</v>
      </c>
    </row>
    <row r="524" spans="1:7">
      <c r="A524" s="5" t="s">
        <v>1842</v>
      </c>
      <c r="B524" s="5" t="s">
        <v>514</v>
      </c>
      <c r="C524" s="5" t="s">
        <v>530</v>
      </c>
      <c r="D524" s="5" t="s">
        <v>2459</v>
      </c>
      <c r="E524" s="5" t="s">
        <v>2460</v>
      </c>
      <c r="F524" s="5" t="s">
        <v>1918</v>
      </c>
      <c r="G524" t="str">
        <f t="shared" si="8"/>
        <v>53903 : Food &amp; beverage equip&lt;$5K</v>
      </c>
    </row>
    <row r="525" spans="1:7">
      <c r="A525" s="5" t="s">
        <v>1842</v>
      </c>
      <c r="B525" s="5" t="s">
        <v>514</v>
      </c>
      <c r="C525" s="5" t="s">
        <v>548</v>
      </c>
      <c r="D525" s="5" t="s">
        <v>2461</v>
      </c>
      <c r="E525" s="5" t="s">
        <v>2460</v>
      </c>
      <c r="F525" s="5" t="s">
        <v>1918</v>
      </c>
      <c r="G525" t="str">
        <f t="shared" si="8"/>
        <v>53903 : Indstrl refrigeration &lt;$5K</v>
      </c>
    </row>
    <row r="526" spans="1:7">
      <c r="A526" s="5" t="s">
        <v>1842</v>
      </c>
      <c r="B526" s="5" t="s">
        <v>514</v>
      </c>
      <c r="C526" s="5" t="s">
        <v>549</v>
      </c>
      <c r="D526" s="5" t="s">
        <v>2462</v>
      </c>
      <c r="E526" s="5" t="s">
        <v>2463</v>
      </c>
      <c r="F526" s="5" t="s">
        <v>2194</v>
      </c>
      <c r="G526" t="str">
        <f t="shared" si="8"/>
        <v>53908 : Motor vehicles &lt; $5K</v>
      </c>
    </row>
    <row r="527" spans="1:7">
      <c r="A527" s="5" t="s">
        <v>1842</v>
      </c>
      <c r="B527" s="5" t="s">
        <v>514</v>
      </c>
      <c r="C527" s="5" t="s">
        <v>2464</v>
      </c>
      <c r="D527" s="5" t="s">
        <v>2465</v>
      </c>
      <c r="E527" s="5" t="s">
        <v>2463</v>
      </c>
      <c r="F527" s="5" t="s">
        <v>2194</v>
      </c>
      <c r="G527" t="str">
        <f t="shared" si="8"/>
        <v>53908 : Motor vehicles &lt;$5K asset</v>
      </c>
    </row>
    <row r="528" spans="1:7">
      <c r="A528" s="5" t="s">
        <v>1842</v>
      </c>
      <c r="B528" s="5" t="s">
        <v>514</v>
      </c>
      <c r="C528" s="5" t="s">
        <v>551</v>
      </c>
      <c r="D528" s="5" t="s">
        <v>2466</v>
      </c>
      <c r="E528" s="5" t="s">
        <v>2463</v>
      </c>
      <c r="F528" s="5" t="s">
        <v>2194</v>
      </c>
      <c r="G528" t="str">
        <f t="shared" si="8"/>
        <v>53908 : Motor vehicles -Grn&lt;$5K</v>
      </c>
    </row>
    <row r="529" spans="1:7">
      <c r="A529" s="5" t="s">
        <v>1842</v>
      </c>
      <c r="B529" s="5" t="s">
        <v>514</v>
      </c>
      <c r="C529" s="5" t="s">
        <v>2467</v>
      </c>
      <c r="D529" s="5" t="s">
        <v>2468</v>
      </c>
      <c r="E529" s="5" t="s">
        <v>2463</v>
      </c>
      <c r="F529" s="5" t="s">
        <v>2194</v>
      </c>
      <c r="G529" t="str">
        <f t="shared" si="8"/>
        <v>53908 : Motor vehicles -Grn&lt;$5K asset</v>
      </c>
    </row>
    <row r="530" spans="1:7">
      <c r="A530" s="5" t="s">
        <v>1842</v>
      </c>
      <c r="B530" s="5" t="s">
        <v>514</v>
      </c>
      <c r="C530" s="5" t="s">
        <v>552</v>
      </c>
      <c r="D530" s="5" t="s">
        <v>2469</v>
      </c>
      <c r="E530" s="5" t="s">
        <v>2463</v>
      </c>
      <c r="F530" s="5" t="s">
        <v>2194</v>
      </c>
      <c r="G530" t="str">
        <f t="shared" si="8"/>
        <v>53908 : Marine transport&lt; $5K</v>
      </c>
    </row>
    <row r="531" spans="1:7">
      <c r="A531" s="5" t="s">
        <v>1842</v>
      </c>
      <c r="B531" s="5" t="s">
        <v>514</v>
      </c>
      <c r="C531" s="5" t="s">
        <v>2470</v>
      </c>
      <c r="D531" s="5" t="s">
        <v>2471</v>
      </c>
      <c r="E531" s="5" t="s">
        <v>2463</v>
      </c>
      <c r="F531" s="5" t="s">
        <v>2194</v>
      </c>
      <c r="G531" t="str">
        <f t="shared" si="8"/>
        <v>53908 : Marine transport &lt;$5K asset</v>
      </c>
    </row>
    <row r="532" spans="1:7">
      <c r="A532" s="5" t="s">
        <v>1842</v>
      </c>
      <c r="B532" s="5" t="s">
        <v>514</v>
      </c>
      <c r="C532" s="5" t="s">
        <v>602</v>
      </c>
      <c r="D532" s="5" t="s">
        <v>2472</v>
      </c>
      <c r="E532" s="5" t="s">
        <v>2463</v>
      </c>
      <c r="F532" s="5" t="s">
        <v>2194</v>
      </c>
      <c r="G532" t="str">
        <f t="shared" si="8"/>
        <v>53908 : Vehicle bodies &amp; trailers</v>
      </c>
    </row>
    <row r="533" spans="1:7">
      <c r="A533" s="5" t="s">
        <v>1842</v>
      </c>
      <c r="B533" s="5" t="s">
        <v>514</v>
      </c>
      <c r="C533" s="5" t="s">
        <v>603</v>
      </c>
      <c r="D533" s="5" t="s">
        <v>2473</v>
      </c>
      <c r="E533" s="5" t="s">
        <v>2463</v>
      </c>
      <c r="F533" s="5" t="s">
        <v>2194</v>
      </c>
      <c r="G533" t="str">
        <f t="shared" si="8"/>
        <v>53908 : Trnsprtn svcs equip</v>
      </c>
    </row>
    <row r="534" spans="1:7">
      <c r="A534" s="5" t="s">
        <v>1842</v>
      </c>
      <c r="B534" s="5" t="s">
        <v>514</v>
      </c>
      <c r="C534" s="5" t="s">
        <v>608</v>
      </c>
      <c r="D534" s="5" t="s">
        <v>2474</v>
      </c>
      <c r="E534" s="5" t="s">
        <v>2463</v>
      </c>
      <c r="F534" s="5" t="s">
        <v>2194</v>
      </c>
      <c r="G534" t="str">
        <f t="shared" si="8"/>
        <v>53908 : Aerospace syst &amp; equip</v>
      </c>
    </row>
    <row r="535" spans="1:7">
      <c r="A535" s="5" t="s">
        <v>1842</v>
      </c>
      <c r="B535" s="5" t="s">
        <v>514</v>
      </c>
      <c r="C535" s="5" t="s">
        <v>604</v>
      </c>
      <c r="D535" s="5" t="s">
        <v>2475</v>
      </c>
      <c r="E535" s="5" t="s">
        <v>2463</v>
      </c>
      <c r="F535" s="5" t="s">
        <v>2194</v>
      </c>
      <c r="G535" t="str">
        <f t="shared" si="8"/>
        <v>53908 : Aerospace syst &amp; equip - Haz</v>
      </c>
    </row>
    <row r="536" spans="1:7">
      <c r="A536" s="5" t="s">
        <v>1842</v>
      </c>
      <c r="B536" s="5" t="s">
        <v>514</v>
      </c>
      <c r="C536" s="5" t="s">
        <v>609</v>
      </c>
      <c r="D536" s="5" t="s">
        <v>2476</v>
      </c>
      <c r="E536" s="5" t="s">
        <v>2460</v>
      </c>
      <c r="F536" s="5" t="s">
        <v>1918</v>
      </c>
      <c r="G536" t="str">
        <f t="shared" si="8"/>
        <v>53903 : Power generation &lt;$5K</v>
      </c>
    </row>
    <row r="537" spans="1:7">
      <c r="A537" s="5" t="s">
        <v>1842</v>
      </c>
      <c r="B537" s="5" t="s">
        <v>514</v>
      </c>
      <c r="C537" s="5" t="s">
        <v>610</v>
      </c>
      <c r="D537" s="5" t="s">
        <v>2477</v>
      </c>
      <c r="E537" s="5" t="s">
        <v>2460</v>
      </c>
      <c r="F537" s="5" t="s">
        <v>1918</v>
      </c>
      <c r="G537" t="str">
        <f t="shared" si="8"/>
        <v>53903 : Power generation -Haz&lt;$5K</v>
      </c>
    </row>
    <row r="538" spans="1:7">
      <c r="A538" s="5" t="s">
        <v>1842</v>
      </c>
      <c r="B538" s="5" t="s">
        <v>514</v>
      </c>
      <c r="C538" s="5" t="s">
        <v>611</v>
      </c>
      <c r="D538" s="5" t="s">
        <v>2478</v>
      </c>
      <c r="E538" s="5" t="s">
        <v>2460</v>
      </c>
      <c r="F538" s="5" t="s">
        <v>1918</v>
      </c>
      <c r="G538" t="str">
        <f t="shared" si="8"/>
        <v>53903 : Power generation -Grn&lt;$5K</v>
      </c>
    </row>
    <row r="539" spans="1:7">
      <c r="A539" s="5" t="s">
        <v>1842</v>
      </c>
      <c r="B539" s="5" t="s">
        <v>514</v>
      </c>
      <c r="C539" s="5" t="s">
        <v>618</v>
      </c>
      <c r="D539" s="5" t="s">
        <v>2479</v>
      </c>
      <c r="E539" s="5" t="s">
        <v>2460</v>
      </c>
      <c r="F539" s="5" t="s">
        <v>1918</v>
      </c>
      <c r="G539" t="str">
        <f t="shared" si="8"/>
        <v>53903 : Auto Spec Tools &lt; $5K</v>
      </c>
    </row>
    <row r="540" spans="1:7">
      <c r="A540" s="5" t="s">
        <v>1842</v>
      </c>
      <c r="B540" s="5" t="s">
        <v>514</v>
      </c>
      <c r="C540" s="5" t="s">
        <v>2480</v>
      </c>
      <c r="D540" s="5" t="s">
        <v>2481</v>
      </c>
      <c r="E540" s="5" t="s">
        <v>2460</v>
      </c>
      <c r="F540" s="5" t="s">
        <v>1918</v>
      </c>
      <c r="G540" t="str">
        <f t="shared" si="8"/>
        <v>53903 : Auto Spec Tools &lt;$5K asset</v>
      </c>
    </row>
    <row r="541" spans="1:7">
      <c r="A541" s="5" t="s">
        <v>1842</v>
      </c>
      <c r="B541" s="5" t="s">
        <v>514</v>
      </c>
      <c r="C541" s="5" t="s">
        <v>2482</v>
      </c>
      <c r="D541" s="5" t="s">
        <v>2483</v>
      </c>
      <c r="E541" s="5" t="s">
        <v>2460</v>
      </c>
      <c r="F541" s="5" t="s">
        <v>1918</v>
      </c>
      <c r="G541" t="str">
        <f t="shared" si="8"/>
        <v>53903 : Lab &amp; scien equip &lt;$5K asset</v>
      </c>
    </row>
    <row r="542" spans="1:7">
      <c r="A542" s="5" t="s">
        <v>1842</v>
      </c>
      <c r="B542" s="5" t="s">
        <v>514</v>
      </c>
      <c r="C542" s="5" t="s">
        <v>625</v>
      </c>
      <c r="D542" s="5" t="s">
        <v>2484</v>
      </c>
      <c r="E542" s="5" t="s">
        <v>2485</v>
      </c>
      <c r="F542" s="5" t="s">
        <v>2486</v>
      </c>
      <c r="G542" t="str">
        <f t="shared" si="8"/>
        <v>53907 : Medical Lab Equip &lt;$5K</v>
      </c>
    </row>
    <row r="543" spans="1:7">
      <c r="A543" s="5" t="s">
        <v>1842</v>
      </c>
      <c r="B543" s="5" t="s">
        <v>514</v>
      </c>
      <c r="C543" s="5" t="s">
        <v>2487</v>
      </c>
      <c r="D543" s="5" t="s">
        <v>2488</v>
      </c>
      <c r="E543" s="5" t="s">
        <v>2485</v>
      </c>
      <c r="F543" s="5" t="s">
        <v>2486</v>
      </c>
      <c r="G543" t="str">
        <f t="shared" si="8"/>
        <v>53907 : Medical Lab Equip &lt;$5K asset</v>
      </c>
    </row>
    <row r="544" spans="1:7">
      <c r="A544" s="5" t="s">
        <v>1842</v>
      </c>
      <c r="B544" s="5" t="s">
        <v>514</v>
      </c>
      <c r="C544" s="5" t="s">
        <v>584</v>
      </c>
      <c r="D544" s="5" t="s">
        <v>2489</v>
      </c>
      <c r="E544" s="5" t="s">
        <v>2485</v>
      </c>
      <c r="F544" s="5" t="s">
        <v>2486</v>
      </c>
      <c r="G544" t="str">
        <f t="shared" si="8"/>
        <v>53907 : Med facility products</v>
      </c>
    </row>
    <row r="545" spans="1:7">
      <c r="A545" s="5" t="s">
        <v>1842</v>
      </c>
      <c r="B545" s="5" t="s">
        <v>514</v>
      </c>
      <c r="C545" s="5" t="s">
        <v>585</v>
      </c>
      <c r="D545" s="5" t="s">
        <v>2490</v>
      </c>
      <c r="E545" s="5" t="s">
        <v>2485</v>
      </c>
      <c r="F545" s="5" t="s">
        <v>2486</v>
      </c>
      <c r="G545" t="str">
        <f t="shared" si="8"/>
        <v>53907 : Med diagnostic products</v>
      </c>
    </row>
    <row r="546" spans="1:7">
      <c r="A546" s="5" t="s">
        <v>1842</v>
      </c>
      <c r="B546" s="5" t="s">
        <v>514</v>
      </c>
      <c r="C546" s="5" t="s">
        <v>657</v>
      </c>
      <c r="D546" s="5" t="s">
        <v>2491</v>
      </c>
      <c r="E546" s="5" t="s">
        <v>2485</v>
      </c>
      <c r="F546" s="5" t="s">
        <v>2486</v>
      </c>
      <c r="G546" t="str">
        <f t="shared" si="8"/>
        <v>53907 : Med sterilization products</v>
      </c>
    </row>
    <row r="547" spans="1:7">
      <c r="A547" s="5" t="s">
        <v>1842</v>
      </c>
      <c r="B547" s="5" t="s">
        <v>514</v>
      </c>
      <c r="C547" s="5" t="s">
        <v>669</v>
      </c>
      <c r="D547" s="5" t="s">
        <v>669</v>
      </c>
      <c r="E547" s="5" t="s">
        <v>2492</v>
      </c>
      <c r="F547" s="5" t="s">
        <v>2493</v>
      </c>
      <c r="G547" t="str">
        <f t="shared" si="8"/>
        <v>53905 : 4300000000</v>
      </c>
    </row>
    <row r="548" spans="1:7">
      <c r="A548" s="5" t="s">
        <v>1842</v>
      </c>
      <c r="B548" s="5" t="s">
        <v>514</v>
      </c>
      <c r="C548" s="5" t="s">
        <v>586</v>
      </c>
      <c r="D548" s="5" t="s">
        <v>2494</v>
      </c>
      <c r="E548" s="5" t="s">
        <v>2463</v>
      </c>
      <c r="F548" s="5" t="s">
        <v>2194</v>
      </c>
      <c r="G548" t="str">
        <f t="shared" si="8"/>
        <v>53908 : Comm Devices &lt;$5K</v>
      </c>
    </row>
    <row r="549" spans="1:7">
      <c r="A549" s="5" t="s">
        <v>1842</v>
      </c>
      <c r="B549" s="5" t="s">
        <v>514</v>
      </c>
      <c r="C549" s="5" t="s">
        <v>2495</v>
      </c>
      <c r="D549" s="5" t="s">
        <v>2496</v>
      </c>
      <c r="E549" s="5" t="s">
        <v>2463</v>
      </c>
      <c r="F549" s="5" t="s">
        <v>2194</v>
      </c>
      <c r="G549" t="str">
        <f t="shared" si="8"/>
        <v>53908 : Comm Devices &lt;$5K asset</v>
      </c>
    </row>
    <row r="550" spans="1:7">
      <c r="A550" s="5" t="s">
        <v>1842</v>
      </c>
      <c r="B550" s="5" t="s">
        <v>514</v>
      </c>
      <c r="C550" s="5" t="s">
        <v>670</v>
      </c>
      <c r="D550" s="5" t="s">
        <v>2497</v>
      </c>
      <c r="E550" s="5" t="s">
        <v>2492</v>
      </c>
      <c r="F550" s="5" t="s">
        <v>2493</v>
      </c>
      <c r="G550" t="str">
        <f t="shared" si="8"/>
        <v>53905 : Computer equipment &lt;$1K</v>
      </c>
    </row>
    <row r="551" spans="1:7">
      <c r="A551" s="5" t="s">
        <v>1842</v>
      </c>
      <c r="B551" s="5" t="s">
        <v>514</v>
      </c>
      <c r="C551" s="5" t="s">
        <v>2498</v>
      </c>
      <c r="D551" s="5" t="s">
        <v>2499</v>
      </c>
      <c r="E551" s="5" t="s">
        <v>2492</v>
      </c>
      <c r="F551" s="5" t="s">
        <v>2493</v>
      </c>
      <c r="G551" t="str">
        <f t="shared" si="8"/>
        <v>53905 : Computer equipment &lt;$1K asset</v>
      </c>
    </row>
    <row r="552" spans="1:7">
      <c r="A552" s="5" t="s">
        <v>1842</v>
      </c>
      <c r="B552" s="5" t="s">
        <v>514</v>
      </c>
      <c r="C552" s="5" t="s">
        <v>273</v>
      </c>
      <c r="D552" s="5" t="s">
        <v>2500</v>
      </c>
      <c r="E552" s="5" t="s">
        <v>2492</v>
      </c>
      <c r="F552" s="5" t="s">
        <v>2493</v>
      </c>
      <c r="G552" t="str">
        <f t="shared" si="8"/>
        <v>53905 : Computer Accessories&lt;$1K</v>
      </c>
    </row>
    <row r="553" spans="1:7">
      <c r="A553" s="5" t="s">
        <v>1842</v>
      </c>
      <c r="B553" s="5" t="s">
        <v>514</v>
      </c>
      <c r="C553" s="5" t="s">
        <v>2501</v>
      </c>
      <c r="D553" s="5" t="s">
        <v>2502</v>
      </c>
      <c r="E553" s="5" t="s">
        <v>2492</v>
      </c>
      <c r="F553" s="5" t="s">
        <v>2493</v>
      </c>
      <c r="G553" t="str">
        <f t="shared" si="8"/>
        <v>53905 : Computer Accessories&lt;$1K asset</v>
      </c>
    </row>
    <row r="554" spans="1:7">
      <c r="A554" s="5" t="s">
        <v>1842</v>
      </c>
      <c r="B554" s="5" t="s">
        <v>514</v>
      </c>
      <c r="C554" s="5" t="s">
        <v>2503</v>
      </c>
      <c r="D554" s="5" t="s">
        <v>2504</v>
      </c>
      <c r="E554" s="5" t="s">
        <v>2492</v>
      </c>
      <c r="F554" s="5" t="s">
        <v>2493</v>
      </c>
      <c r="G554" t="str">
        <f t="shared" si="8"/>
        <v>53905 : Computer printers &lt;$1K</v>
      </c>
    </row>
    <row r="555" spans="1:7">
      <c r="A555" s="5" t="s">
        <v>1842</v>
      </c>
      <c r="B555" s="5" t="s">
        <v>514</v>
      </c>
      <c r="C555" s="5" t="s">
        <v>2505</v>
      </c>
      <c r="D555" s="5" t="s">
        <v>2506</v>
      </c>
      <c r="E555" s="5" t="s">
        <v>2492</v>
      </c>
      <c r="F555" s="5" t="s">
        <v>2493</v>
      </c>
      <c r="G555" t="str">
        <f t="shared" si="8"/>
        <v>53905 : Computer printers &lt;$1K asset</v>
      </c>
    </row>
    <row r="556" spans="1:7">
      <c r="A556" s="5" t="s">
        <v>1842</v>
      </c>
      <c r="B556" s="5" t="s">
        <v>514</v>
      </c>
      <c r="C556" s="5" t="s">
        <v>2507</v>
      </c>
      <c r="D556" s="5" t="s">
        <v>2508</v>
      </c>
      <c r="E556" s="5" t="s">
        <v>2492</v>
      </c>
      <c r="F556" s="5" t="s">
        <v>2493</v>
      </c>
      <c r="G556" t="str">
        <f t="shared" si="8"/>
        <v>53905 : Multi function print&lt;$1K</v>
      </c>
    </row>
    <row r="557" spans="1:7">
      <c r="A557" s="5" t="s">
        <v>1842</v>
      </c>
      <c r="B557" s="5" t="s">
        <v>514</v>
      </c>
      <c r="C557" s="5" t="s">
        <v>2509</v>
      </c>
      <c r="D557" s="5" t="s">
        <v>2510</v>
      </c>
      <c r="E557" s="5" t="s">
        <v>2492</v>
      </c>
      <c r="F557" s="5" t="s">
        <v>2493</v>
      </c>
      <c r="G557" t="str">
        <f t="shared" si="8"/>
        <v>53905 : Multi function print&lt;$1K asset</v>
      </c>
    </row>
    <row r="558" spans="1:7">
      <c r="A558" s="5" t="s">
        <v>1842</v>
      </c>
      <c r="B558" s="5" t="s">
        <v>514</v>
      </c>
      <c r="C558" s="5" t="s">
        <v>587</v>
      </c>
      <c r="D558" s="5" t="s">
        <v>2511</v>
      </c>
      <c r="E558" s="5" t="s">
        <v>2460</v>
      </c>
      <c r="F558" s="5" t="s">
        <v>1918</v>
      </c>
      <c r="G558" t="str">
        <f t="shared" si="8"/>
        <v>53903 : Network Commm accssrs&lt;$5K</v>
      </c>
    </row>
    <row r="559" spans="1:7">
      <c r="A559" s="5" t="s">
        <v>1842</v>
      </c>
      <c r="B559" s="5" t="s">
        <v>514</v>
      </c>
      <c r="C559" s="5" t="s">
        <v>589</v>
      </c>
      <c r="D559" s="5" t="s">
        <v>589</v>
      </c>
      <c r="E559" s="5" t="s">
        <v>2460</v>
      </c>
      <c r="F559" s="5" t="s">
        <v>1918</v>
      </c>
      <c r="G559" t="str">
        <f t="shared" si="8"/>
        <v>53903 : 4400000000</v>
      </c>
    </row>
    <row r="560" spans="1:7">
      <c r="A560" s="5" t="s">
        <v>1842</v>
      </c>
      <c r="B560" s="5" t="s">
        <v>514</v>
      </c>
      <c r="C560" s="5" t="s">
        <v>588</v>
      </c>
      <c r="D560" s="5" t="s">
        <v>2512</v>
      </c>
      <c r="E560" s="5" t="s">
        <v>2460</v>
      </c>
      <c r="F560" s="5" t="s">
        <v>1918</v>
      </c>
      <c r="G560" t="str">
        <f t="shared" si="8"/>
        <v>53903 : Office machines &lt;$5K</v>
      </c>
    </row>
    <row r="561" spans="1:7">
      <c r="A561" s="5" t="s">
        <v>1842</v>
      </c>
      <c r="B561" s="5" t="s">
        <v>514</v>
      </c>
      <c r="C561" s="5" t="s">
        <v>590</v>
      </c>
      <c r="D561" s="5" t="s">
        <v>2513</v>
      </c>
      <c r="E561" s="5" t="s">
        <v>2460</v>
      </c>
      <c r="F561" s="5" t="s">
        <v>1918</v>
      </c>
      <c r="G561" t="str">
        <f t="shared" si="8"/>
        <v>53903 : Office machines Grn&lt;$5K</v>
      </c>
    </row>
    <row r="562" spans="1:7">
      <c r="A562" s="5" t="s">
        <v>1842</v>
      </c>
      <c r="B562" s="5" t="s">
        <v>514</v>
      </c>
      <c r="C562" s="5" t="s">
        <v>592</v>
      </c>
      <c r="D562" s="5" t="s">
        <v>592</v>
      </c>
      <c r="E562" s="5" t="s">
        <v>2460</v>
      </c>
      <c r="F562" s="5" t="s">
        <v>1918</v>
      </c>
      <c r="G562" t="str">
        <f t="shared" si="8"/>
        <v>53903 : 4500000000</v>
      </c>
    </row>
    <row r="563" spans="1:7">
      <c r="A563" s="5" t="s">
        <v>1842</v>
      </c>
      <c r="B563" s="5" t="s">
        <v>514</v>
      </c>
      <c r="C563" s="5" t="s">
        <v>591</v>
      </c>
      <c r="D563" s="5" t="s">
        <v>2514</v>
      </c>
      <c r="E563" s="5" t="s">
        <v>2460</v>
      </c>
      <c r="F563" s="5" t="s">
        <v>1918</v>
      </c>
      <c r="G563" t="str">
        <f t="shared" si="8"/>
        <v>53903 : Printing equip</v>
      </c>
    </row>
    <row r="564" spans="1:7">
      <c r="A564" s="5" t="s">
        <v>1842</v>
      </c>
      <c r="B564" s="5" t="s">
        <v>514</v>
      </c>
      <c r="C564" s="5" t="s">
        <v>593</v>
      </c>
      <c r="D564" s="5" t="s">
        <v>2515</v>
      </c>
      <c r="E564" s="5" t="s">
        <v>2460</v>
      </c>
      <c r="F564" s="5" t="s">
        <v>1918</v>
      </c>
      <c r="G564" t="str">
        <f t="shared" si="8"/>
        <v>53903 : Printing equip - Haz</v>
      </c>
    </row>
    <row r="565" spans="1:7">
      <c r="A565" s="5" t="s">
        <v>1842</v>
      </c>
      <c r="B565" s="5" t="s">
        <v>514</v>
      </c>
      <c r="C565" s="5" t="s">
        <v>594</v>
      </c>
      <c r="D565" s="5" t="s">
        <v>2516</v>
      </c>
      <c r="E565" s="5" t="s">
        <v>2460</v>
      </c>
      <c r="F565" s="5" t="s">
        <v>1918</v>
      </c>
      <c r="G565" t="str">
        <f t="shared" si="8"/>
        <v>53903 : Audio visual equip&lt;$5K</v>
      </c>
    </row>
    <row r="566" spans="1:7">
      <c r="A566" s="5" t="s">
        <v>1842</v>
      </c>
      <c r="B566" s="5" t="s">
        <v>514</v>
      </c>
      <c r="C566" s="5" t="s">
        <v>2517</v>
      </c>
      <c r="D566" s="5" t="s">
        <v>2518</v>
      </c>
      <c r="E566" s="5" t="s">
        <v>2460</v>
      </c>
      <c r="F566" s="5" t="s">
        <v>1918</v>
      </c>
      <c r="G566" t="str">
        <f t="shared" si="8"/>
        <v>53903 : Audio visual equip&lt;$5K asset</v>
      </c>
    </row>
    <row r="567" spans="1:7">
      <c r="A567" s="5" t="s">
        <v>1842</v>
      </c>
      <c r="B567" s="5" t="s">
        <v>514</v>
      </c>
      <c r="C567" s="5" t="s">
        <v>595</v>
      </c>
      <c r="D567" s="5" t="s">
        <v>2519</v>
      </c>
      <c r="E567" s="5" t="s">
        <v>2460</v>
      </c>
      <c r="F567" s="5" t="s">
        <v>1918</v>
      </c>
      <c r="G567" t="str">
        <f t="shared" si="8"/>
        <v>53903 : Photo, film, video equip</v>
      </c>
    </row>
    <row r="568" spans="1:7">
      <c r="A568" s="5" t="s">
        <v>1842</v>
      </c>
      <c r="B568" s="5" t="s">
        <v>514</v>
      </c>
      <c r="C568" s="5" t="s">
        <v>597</v>
      </c>
      <c r="D568" s="5" t="s">
        <v>597</v>
      </c>
      <c r="E568" s="5" t="s">
        <v>2520</v>
      </c>
      <c r="F568" s="5" t="s">
        <v>2521</v>
      </c>
      <c r="G568" t="str">
        <f t="shared" si="8"/>
        <v>53906 : 4600000000</v>
      </c>
    </row>
    <row r="569" spans="1:7">
      <c r="A569" s="5" t="s">
        <v>1842</v>
      </c>
      <c r="B569" s="5" t="s">
        <v>514</v>
      </c>
      <c r="C569" s="5" t="s">
        <v>596</v>
      </c>
      <c r="D569" s="5" t="s">
        <v>2522</v>
      </c>
      <c r="E569" s="5" t="s">
        <v>2520</v>
      </c>
      <c r="F569" s="5" t="s">
        <v>2521</v>
      </c>
      <c r="G569" t="str">
        <f t="shared" si="8"/>
        <v>53906 : Light weapons &amp; ammunition</v>
      </c>
    </row>
    <row r="570" spans="1:7">
      <c r="A570" s="5" t="s">
        <v>1842</v>
      </c>
      <c r="B570" s="5" t="s">
        <v>514</v>
      </c>
      <c r="C570" s="5" t="s">
        <v>598</v>
      </c>
      <c r="D570" s="5" t="s">
        <v>2523</v>
      </c>
      <c r="E570" s="5" t="s">
        <v>2520</v>
      </c>
      <c r="F570" s="5" t="s">
        <v>2521</v>
      </c>
      <c r="G570" t="str">
        <f t="shared" si="8"/>
        <v>53906 : Light weapons - Haz</v>
      </c>
    </row>
    <row r="571" spans="1:7">
      <c r="A571" s="5" t="s">
        <v>1842</v>
      </c>
      <c r="B571" s="5" t="s">
        <v>514</v>
      </c>
      <c r="C571" s="5" t="s">
        <v>599</v>
      </c>
      <c r="D571" s="5" t="s">
        <v>2524</v>
      </c>
      <c r="E571" s="5" t="s">
        <v>2520</v>
      </c>
      <c r="F571" s="5" t="s">
        <v>2521</v>
      </c>
      <c r="G571" t="str">
        <f t="shared" si="8"/>
        <v>53906 : Conventional war weapons</v>
      </c>
    </row>
    <row r="572" spans="1:7">
      <c r="A572" s="5" t="s">
        <v>1842</v>
      </c>
      <c r="B572" s="5" t="s">
        <v>514</v>
      </c>
      <c r="C572" s="5" t="s">
        <v>605</v>
      </c>
      <c r="D572" s="5" t="s">
        <v>2525</v>
      </c>
      <c r="E572" s="5" t="s">
        <v>2520</v>
      </c>
      <c r="F572" s="5" t="s">
        <v>2521</v>
      </c>
      <c r="G572" t="str">
        <f t="shared" si="8"/>
        <v>53906 : Conventional war weapons - Haz</v>
      </c>
    </row>
    <row r="573" spans="1:7">
      <c r="A573" s="5" t="s">
        <v>1842</v>
      </c>
      <c r="B573" s="5" t="s">
        <v>514</v>
      </c>
      <c r="C573" s="5" t="s">
        <v>606</v>
      </c>
      <c r="D573" s="5" t="s">
        <v>2526</v>
      </c>
      <c r="E573" s="5" t="s">
        <v>2520</v>
      </c>
      <c r="F573" s="5" t="s">
        <v>2521</v>
      </c>
      <c r="G573" t="str">
        <f t="shared" si="8"/>
        <v>53906 : Missiles</v>
      </c>
    </row>
    <row r="574" spans="1:7">
      <c r="A574" s="5" t="s">
        <v>1842</v>
      </c>
      <c r="B574" s="5" t="s">
        <v>514</v>
      </c>
      <c r="C574" s="5" t="s">
        <v>626</v>
      </c>
      <c r="D574" s="5" t="s">
        <v>2527</v>
      </c>
      <c r="E574" s="5" t="s">
        <v>2520</v>
      </c>
      <c r="F574" s="5" t="s">
        <v>2521</v>
      </c>
      <c r="G574" t="str">
        <f t="shared" si="8"/>
        <v>53906 : Missiles - Haz</v>
      </c>
    </row>
    <row r="575" spans="1:7">
      <c r="A575" s="5" t="s">
        <v>1842</v>
      </c>
      <c r="B575" s="5" t="s">
        <v>514</v>
      </c>
      <c r="C575" s="5" t="s">
        <v>658</v>
      </c>
      <c r="D575" s="5" t="s">
        <v>2528</v>
      </c>
      <c r="E575" s="5" t="s">
        <v>2520</v>
      </c>
      <c r="F575" s="5" t="s">
        <v>2521</v>
      </c>
      <c r="G575" t="str">
        <f t="shared" si="8"/>
        <v>53906 : Rockets &amp; subsyst</v>
      </c>
    </row>
    <row r="576" spans="1:7">
      <c r="A576" s="5" t="s">
        <v>1842</v>
      </c>
      <c r="B576" s="5" t="s">
        <v>514</v>
      </c>
      <c r="C576" s="5" t="s">
        <v>659</v>
      </c>
      <c r="D576" s="5" t="s">
        <v>2529</v>
      </c>
      <c r="E576" s="5" t="s">
        <v>2520</v>
      </c>
      <c r="F576" s="5" t="s">
        <v>2521</v>
      </c>
      <c r="G576" t="str">
        <f t="shared" si="8"/>
        <v>53906 : Rockets &amp; subsyst - Haz</v>
      </c>
    </row>
    <row r="577" spans="1:7">
      <c r="A577" s="5" t="s">
        <v>1842</v>
      </c>
      <c r="B577" s="5" t="s">
        <v>514</v>
      </c>
      <c r="C577" s="5" t="s">
        <v>660</v>
      </c>
      <c r="D577" s="5" t="s">
        <v>2530</v>
      </c>
      <c r="E577" s="5" t="s">
        <v>2520</v>
      </c>
      <c r="F577" s="5" t="s">
        <v>2521</v>
      </c>
      <c r="G577" t="str">
        <f t="shared" si="8"/>
        <v>53906 : Launchers</v>
      </c>
    </row>
    <row r="578" spans="1:7">
      <c r="A578" s="5" t="s">
        <v>1842</v>
      </c>
      <c r="B578" s="5" t="s">
        <v>514</v>
      </c>
      <c r="C578" s="5" t="s">
        <v>661</v>
      </c>
      <c r="D578" s="5" t="s">
        <v>2531</v>
      </c>
      <c r="E578" s="5" t="s">
        <v>2520</v>
      </c>
      <c r="F578" s="5" t="s">
        <v>2521</v>
      </c>
      <c r="G578" t="str">
        <f t="shared" si="8"/>
        <v>53906 : Launchers - Haz</v>
      </c>
    </row>
    <row r="579" spans="1:7">
      <c r="A579" s="5" t="s">
        <v>1842</v>
      </c>
      <c r="B579" s="5" t="s">
        <v>514</v>
      </c>
      <c r="C579" s="5" t="s">
        <v>639</v>
      </c>
      <c r="D579" s="5" t="s">
        <v>2532</v>
      </c>
      <c r="E579" s="5" t="s">
        <v>2520</v>
      </c>
      <c r="F579" s="5" t="s">
        <v>2521</v>
      </c>
      <c r="G579" t="str">
        <f t="shared" si="8"/>
        <v>53906 : Law enforcement</v>
      </c>
    </row>
    <row r="580" spans="1:7">
      <c r="A580" s="5" t="s">
        <v>1842</v>
      </c>
      <c r="B580" s="5" t="s">
        <v>514</v>
      </c>
      <c r="C580" s="5" t="s">
        <v>640</v>
      </c>
      <c r="D580" s="5" t="s">
        <v>2533</v>
      </c>
      <c r="E580" s="5" t="s">
        <v>2520</v>
      </c>
      <c r="F580" s="5" t="s">
        <v>2521</v>
      </c>
      <c r="G580" t="str">
        <f t="shared" ref="G580:G643" si="9">CONCATENATE(E580, " : ", D580)</f>
        <v>53906 : Law enforcement - Haz</v>
      </c>
    </row>
    <row r="581" spans="1:7">
      <c r="A581" s="5" t="s">
        <v>1842</v>
      </c>
      <c r="B581" s="5" t="s">
        <v>514</v>
      </c>
      <c r="C581" s="5" t="s">
        <v>664</v>
      </c>
      <c r="D581" s="5" t="s">
        <v>2534</v>
      </c>
      <c r="E581" s="5" t="s">
        <v>2520</v>
      </c>
      <c r="F581" s="5" t="s">
        <v>2521</v>
      </c>
      <c r="G581" t="str">
        <f t="shared" si="9"/>
        <v>53906 : Public safety &amp; ctrl &lt;$5K</v>
      </c>
    </row>
    <row r="582" spans="1:7">
      <c r="A582" s="5" t="s">
        <v>1842</v>
      </c>
      <c r="B582" s="5" t="s">
        <v>514</v>
      </c>
      <c r="C582" s="5" t="s">
        <v>665</v>
      </c>
      <c r="D582" s="5" t="s">
        <v>2535</v>
      </c>
      <c r="E582" s="5" t="s">
        <v>2520</v>
      </c>
      <c r="F582" s="5" t="s">
        <v>2521</v>
      </c>
      <c r="G582" t="str">
        <f t="shared" si="9"/>
        <v>53906 : Public safety &amp; ctrl -Haz&lt;$5K</v>
      </c>
    </row>
    <row r="583" spans="1:7">
      <c r="A583" s="5" t="s">
        <v>1842</v>
      </c>
      <c r="B583" s="5" t="s">
        <v>514</v>
      </c>
      <c r="C583" s="5" t="s">
        <v>641</v>
      </c>
      <c r="D583" s="5" t="s">
        <v>2536</v>
      </c>
      <c r="E583" s="5" t="s">
        <v>2520</v>
      </c>
      <c r="F583" s="5" t="s">
        <v>2521</v>
      </c>
      <c r="G583" t="str">
        <f t="shared" si="9"/>
        <v>53906 : Security equip &lt;$5K</v>
      </c>
    </row>
    <row r="584" spans="1:7">
      <c r="A584" s="5" t="s">
        <v>1842</v>
      </c>
      <c r="B584" s="5" t="s">
        <v>514</v>
      </c>
      <c r="C584" s="5" t="s">
        <v>642</v>
      </c>
      <c r="D584" s="5" t="s">
        <v>2537</v>
      </c>
      <c r="E584" s="5" t="s">
        <v>2520</v>
      </c>
      <c r="F584" s="5" t="s">
        <v>2521</v>
      </c>
      <c r="G584" t="str">
        <f t="shared" si="9"/>
        <v>53906 : Security equip -Haz&lt;$5K</v>
      </c>
    </row>
    <row r="585" spans="1:7">
      <c r="A585" s="5" t="s">
        <v>1842</v>
      </c>
      <c r="B585" s="5" t="s">
        <v>514</v>
      </c>
      <c r="C585" s="5" t="s">
        <v>643</v>
      </c>
      <c r="D585" s="5" t="s">
        <v>2538</v>
      </c>
      <c r="E585" s="5" t="s">
        <v>2520</v>
      </c>
      <c r="F585" s="5" t="s">
        <v>2521</v>
      </c>
      <c r="G585" t="str">
        <f t="shared" si="9"/>
        <v>53906 : Personal protection &lt;$5K</v>
      </c>
    </row>
    <row r="586" spans="1:7">
      <c r="A586" s="5" t="s">
        <v>1842</v>
      </c>
      <c r="B586" s="5" t="s">
        <v>514</v>
      </c>
      <c r="C586" s="5" t="s">
        <v>666</v>
      </c>
      <c r="D586" s="5" t="s">
        <v>2539</v>
      </c>
      <c r="E586" s="5" t="s">
        <v>2520</v>
      </c>
      <c r="F586" s="5" t="s">
        <v>2521</v>
      </c>
      <c r="G586" t="str">
        <f t="shared" si="9"/>
        <v>53906 : Personal protection -Haz&lt;$5K</v>
      </c>
    </row>
    <row r="587" spans="1:7">
      <c r="A587" s="5" t="s">
        <v>1842</v>
      </c>
      <c r="B587" s="5" t="s">
        <v>514</v>
      </c>
      <c r="C587" s="5" t="s">
        <v>667</v>
      </c>
      <c r="D587" s="5" t="s">
        <v>2540</v>
      </c>
      <c r="E587" s="5" t="s">
        <v>2460</v>
      </c>
      <c r="F587" s="5" t="s">
        <v>1918</v>
      </c>
      <c r="G587" t="str">
        <f t="shared" si="9"/>
        <v>53903 : Fire protection &lt;$5K</v>
      </c>
    </row>
    <row r="588" spans="1:7">
      <c r="A588" s="5" t="s">
        <v>1842</v>
      </c>
      <c r="B588" s="5" t="s">
        <v>514</v>
      </c>
      <c r="C588" s="5" t="s">
        <v>668</v>
      </c>
      <c r="D588" s="5" t="s">
        <v>2541</v>
      </c>
      <c r="E588" s="5" t="s">
        <v>2460</v>
      </c>
      <c r="F588" s="5" t="s">
        <v>1918</v>
      </c>
      <c r="G588" t="str">
        <f t="shared" si="9"/>
        <v>53903 : Fire protection -Haz&lt;$5K</v>
      </c>
    </row>
    <row r="589" spans="1:7">
      <c r="A589" s="5" t="s">
        <v>1842</v>
      </c>
      <c r="B589" s="5" t="s">
        <v>514</v>
      </c>
      <c r="C589" s="5" t="s">
        <v>633</v>
      </c>
      <c r="D589" s="5" t="s">
        <v>2542</v>
      </c>
      <c r="E589" s="5" t="s">
        <v>2543</v>
      </c>
      <c r="F589" s="5" t="s">
        <v>2544</v>
      </c>
      <c r="G589" t="str">
        <f t="shared" si="9"/>
        <v>53904 : Fitness equip</v>
      </c>
    </row>
    <row r="590" spans="1:7">
      <c r="A590" s="5" t="s">
        <v>1842</v>
      </c>
      <c r="B590" s="5" t="s">
        <v>514</v>
      </c>
      <c r="C590" s="5" t="s">
        <v>634</v>
      </c>
      <c r="D590" s="5" t="s">
        <v>2545</v>
      </c>
      <c r="E590" s="5" t="s">
        <v>2543</v>
      </c>
      <c r="F590" s="5" t="s">
        <v>2544</v>
      </c>
      <c r="G590" t="str">
        <f t="shared" si="9"/>
        <v>53904 : Playground &amp; spa equip supplie</v>
      </c>
    </row>
    <row r="591" spans="1:7">
      <c r="A591" s="5" t="s">
        <v>1842</v>
      </c>
      <c r="B591" s="5" t="s">
        <v>514</v>
      </c>
      <c r="C591" s="5" t="s">
        <v>663</v>
      </c>
      <c r="D591" s="5" t="s">
        <v>2546</v>
      </c>
      <c r="E591" s="5" t="s">
        <v>1845</v>
      </c>
      <c r="F591" s="5" t="s">
        <v>2547</v>
      </c>
      <c r="G591" t="str">
        <f t="shared" si="9"/>
        <v>53902 : Window treatments</v>
      </c>
    </row>
    <row r="592" spans="1:7">
      <c r="A592" s="5" t="s">
        <v>1842</v>
      </c>
      <c r="B592" s="5" t="s">
        <v>514</v>
      </c>
      <c r="C592" s="5" t="s">
        <v>635</v>
      </c>
      <c r="D592" s="5" t="s">
        <v>2548</v>
      </c>
      <c r="E592" s="5" t="s">
        <v>2460</v>
      </c>
      <c r="F592" s="5" t="s">
        <v>1918</v>
      </c>
      <c r="G592" t="str">
        <f t="shared" si="9"/>
        <v>53903 : Consum electron &lt;$5K</v>
      </c>
    </row>
    <row r="593" spans="1:7">
      <c r="A593" s="5" t="s">
        <v>1842</v>
      </c>
      <c r="B593" s="5" t="s">
        <v>514</v>
      </c>
      <c r="C593" s="5" t="s">
        <v>2549</v>
      </c>
      <c r="D593" s="5" t="s">
        <v>2550</v>
      </c>
      <c r="E593" s="5" t="s">
        <v>2460</v>
      </c>
      <c r="F593" s="5" t="s">
        <v>1918</v>
      </c>
      <c r="G593" t="str">
        <f t="shared" si="9"/>
        <v>53903 : Consum electron &lt;$5K asset</v>
      </c>
    </row>
    <row r="594" spans="1:7">
      <c r="A594" s="5" t="s">
        <v>1842</v>
      </c>
      <c r="B594" s="5" t="s">
        <v>514</v>
      </c>
      <c r="C594" s="5" t="s">
        <v>636</v>
      </c>
      <c r="D594" s="5" t="s">
        <v>2551</v>
      </c>
      <c r="E594" s="5" t="s">
        <v>1845</v>
      </c>
      <c r="F594" s="5" t="s">
        <v>2547</v>
      </c>
      <c r="G594" t="str">
        <f t="shared" si="9"/>
        <v>53902 : Furniture and Fixtures &lt;$5K</v>
      </c>
    </row>
    <row r="595" spans="1:7">
      <c r="A595" s="5" t="s">
        <v>1842</v>
      </c>
      <c r="B595" s="5" t="s">
        <v>514</v>
      </c>
      <c r="C595" s="5" t="s">
        <v>637</v>
      </c>
      <c r="D595" s="5" t="s">
        <v>2552</v>
      </c>
      <c r="E595" s="5" t="s">
        <v>1845</v>
      </c>
      <c r="F595" s="5" t="s">
        <v>2547</v>
      </c>
      <c r="G595" t="str">
        <f t="shared" si="9"/>
        <v>53902 : Furniture and Fixtur -Grn&lt;$5K</v>
      </c>
    </row>
    <row r="596" spans="1:7">
      <c r="A596" s="5" t="s">
        <v>1842</v>
      </c>
      <c r="B596" s="5" t="s">
        <v>514</v>
      </c>
      <c r="C596" s="5" t="s">
        <v>515</v>
      </c>
      <c r="D596" s="5" t="s">
        <v>2553</v>
      </c>
      <c r="E596" s="5" t="s">
        <v>1845</v>
      </c>
      <c r="F596" s="5" t="s">
        <v>2547</v>
      </c>
      <c r="G596" t="str">
        <f t="shared" si="9"/>
        <v>53902 : Commercial furniture</v>
      </c>
    </row>
    <row r="597" spans="1:7">
      <c r="A597" s="5" t="s">
        <v>1842</v>
      </c>
      <c r="B597" s="5" t="s">
        <v>514</v>
      </c>
      <c r="C597" s="5" t="s">
        <v>645</v>
      </c>
      <c r="D597" s="5" t="s">
        <v>2554</v>
      </c>
      <c r="E597" s="5" t="s">
        <v>1845</v>
      </c>
      <c r="F597" s="5" t="s">
        <v>2547</v>
      </c>
      <c r="G597" t="str">
        <f t="shared" si="9"/>
        <v>53902 : Commercial furniture - Grn</v>
      </c>
    </row>
    <row r="598" spans="1:7">
      <c r="A598" s="5" t="s">
        <v>1842</v>
      </c>
      <c r="B598" s="5" t="s">
        <v>514</v>
      </c>
      <c r="C598" s="5" t="s">
        <v>662</v>
      </c>
      <c r="D598" s="5" t="s">
        <v>2555</v>
      </c>
      <c r="E598" s="5" t="s">
        <v>1845</v>
      </c>
      <c r="F598" s="5" t="s">
        <v>2547</v>
      </c>
      <c r="G598" t="str">
        <f t="shared" si="9"/>
        <v>53902 : Instructional furnishing</v>
      </c>
    </row>
    <row r="599" spans="1:7">
      <c r="A599" s="5" t="s">
        <v>1842</v>
      </c>
      <c r="B599" s="5" t="s">
        <v>514</v>
      </c>
      <c r="C599" s="5" t="s">
        <v>650</v>
      </c>
      <c r="D599" s="5" t="s">
        <v>2556</v>
      </c>
      <c r="E599" s="5" t="s">
        <v>1845</v>
      </c>
      <c r="F599" s="5" t="s">
        <v>2547</v>
      </c>
      <c r="G599" t="str">
        <f t="shared" si="9"/>
        <v>53902 : Instructional furnishing - Grn</v>
      </c>
    </row>
    <row r="600" spans="1:7">
      <c r="A600" s="5" t="s">
        <v>1842</v>
      </c>
      <c r="B600" s="5" t="s">
        <v>514</v>
      </c>
      <c r="C600" s="5" t="s">
        <v>646</v>
      </c>
      <c r="D600" s="5" t="s">
        <v>2557</v>
      </c>
      <c r="E600" s="5" t="s">
        <v>1845</v>
      </c>
      <c r="F600" s="5" t="s">
        <v>2547</v>
      </c>
      <c r="G600" t="str">
        <f t="shared" si="9"/>
        <v>53902 : Merchandising furnishing</v>
      </c>
    </row>
    <row r="601" spans="1:7">
      <c r="A601" s="5" t="s">
        <v>1842</v>
      </c>
      <c r="B601" s="5" t="s">
        <v>514</v>
      </c>
      <c r="C601" s="5" t="s">
        <v>647</v>
      </c>
      <c r="D601" s="5" t="s">
        <v>2558</v>
      </c>
      <c r="E601" s="5" t="s">
        <v>1845</v>
      </c>
      <c r="F601" s="5" t="s">
        <v>2547</v>
      </c>
      <c r="G601" t="str">
        <f t="shared" si="9"/>
        <v>53902 : Merchandising furnishing - Grn</v>
      </c>
    </row>
    <row r="602" spans="1:7">
      <c r="A602" s="5" t="s">
        <v>1842</v>
      </c>
      <c r="B602" s="5" t="s">
        <v>514</v>
      </c>
      <c r="C602" s="5" t="s">
        <v>651</v>
      </c>
      <c r="D602" s="5" t="s">
        <v>2559</v>
      </c>
      <c r="E602" s="5" t="s">
        <v>2460</v>
      </c>
      <c r="F602" s="5" t="s">
        <v>1918</v>
      </c>
      <c r="G602" t="str">
        <f t="shared" si="9"/>
        <v>53903 : Music Instru &amp; parts&lt;$5K</v>
      </c>
    </row>
    <row r="603" spans="1:7">
      <c r="A603" s="5" t="s">
        <v>1842</v>
      </c>
      <c r="B603" s="5" t="s">
        <v>514</v>
      </c>
      <c r="C603" s="5" t="s">
        <v>2560</v>
      </c>
      <c r="D603" s="5" t="s">
        <v>2561</v>
      </c>
      <c r="E603" s="5" t="s">
        <v>2460</v>
      </c>
      <c r="F603" s="5" t="s">
        <v>1918</v>
      </c>
      <c r="G603" t="str">
        <f t="shared" si="9"/>
        <v>53903 : Music Instru &amp; parts&lt;$5K asset</v>
      </c>
    </row>
    <row r="604" spans="1:7">
      <c r="A604" s="5" t="s">
        <v>1842</v>
      </c>
      <c r="B604" s="5" t="s">
        <v>514</v>
      </c>
      <c r="C604" s="5" t="s">
        <v>558</v>
      </c>
      <c r="D604" s="5" t="s">
        <v>558</v>
      </c>
      <c r="E604" s="5" t="s">
        <v>1849</v>
      </c>
      <c r="F604" s="5" t="s">
        <v>2562</v>
      </c>
      <c r="G604" t="str">
        <f t="shared" si="9"/>
        <v>53911 : 2000000000</v>
      </c>
    </row>
    <row r="605" spans="1:7">
      <c r="A605" s="5" t="s">
        <v>1842</v>
      </c>
      <c r="B605" s="5" t="s">
        <v>514</v>
      </c>
      <c r="C605" s="5" t="s">
        <v>557</v>
      </c>
      <c r="D605" s="5" t="s">
        <v>2563</v>
      </c>
      <c r="E605" s="5" t="s">
        <v>1849</v>
      </c>
      <c r="F605" s="5" t="s">
        <v>2562</v>
      </c>
      <c r="G605" t="str">
        <f t="shared" si="9"/>
        <v>53911 : Mining machy equip</v>
      </c>
    </row>
    <row r="606" spans="1:7">
      <c r="A606" s="5" t="s">
        <v>1842</v>
      </c>
      <c r="B606" s="5" t="s">
        <v>514</v>
      </c>
      <c r="C606" s="5" t="s">
        <v>559</v>
      </c>
      <c r="D606" s="5" t="s">
        <v>2564</v>
      </c>
      <c r="E606" s="5" t="s">
        <v>1849</v>
      </c>
      <c r="F606" s="5" t="s">
        <v>2562</v>
      </c>
      <c r="G606" t="str">
        <f t="shared" si="9"/>
        <v>53911 : Mining equip - Haz</v>
      </c>
    </row>
    <row r="607" spans="1:7">
      <c r="A607" s="5" t="s">
        <v>1842</v>
      </c>
      <c r="B607" s="5" t="s">
        <v>514</v>
      </c>
      <c r="C607" s="5" t="s">
        <v>560</v>
      </c>
      <c r="D607" s="5" t="s">
        <v>2565</v>
      </c>
      <c r="E607" s="5" t="s">
        <v>1849</v>
      </c>
      <c r="F607" s="5" t="s">
        <v>2562</v>
      </c>
      <c r="G607" t="str">
        <f t="shared" si="9"/>
        <v>53911 : Well drilling equip</v>
      </c>
    </row>
    <row r="608" spans="1:7">
      <c r="A608" s="5" t="s">
        <v>1842</v>
      </c>
      <c r="B608" s="5" t="s">
        <v>514</v>
      </c>
      <c r="C608" s="5" t="s">
        <v>561</v>
      </c>
      <c r="D608" s="5" t="s">
        <v>2566</v>
      </c>
      <c r="E608" s="5" t="s">
        <v>1849</v>
      </c>
      <c r="F608" s="5" t="s">
        <v>2562</v>
      </c>
      <c r="G608" t="str">
        <f t="shared" si="9"/>
        <v>53911 : Well drilling equip - Haz</v>
      </c>
    </row>
    <row r="609" spans="1:7">
      <c r="A609" s="5" t="s">
        <v>1842</v>
      </c>
      <c r="B609" s="5" t="s">
        <v>514</v>
      </c>
      <c r="C609" s="5" t="s">
        <v>516</v>
      </c>
      <c r="D609" s="5" t="s">
        <v>2567</v>
      </c>
      <c r="E609" s="5" t="s">
        <v>1849</v>
      </c>
      <c r="F609" s="5" t="s">
        <v>2562</v>
      </c>
      <c r="G609" t="str">
        <f t="shared" si="9"/>
        <v>53911 : Oil &amp; gas drilling equip</v>
      </c>
    </row>
    <row r="610" spans="1:7">
      <c r="A610" s="5" t="s">
        <v>1842</v>
      </c>
      <c r="B610" s="5" t="s">
        <v>514</v>
      </c>
      <c r="C610" s="5" t="s">
        <v>517</v>
      </c>
      <c r="D610" s="5" t="s">
        <v>2568</v>
      </c>
      <c r="E610" s="5" t="s">
        <v>1849</v>
      </c>
      <c r="F610" s="5" t="s">
        <v>2562</v>
      </c>
      <c r="G610" t="str">
        <f t="shared" si="9"/>
        <v>53911 : Oil &amp; gas drilling equip - Haz</v>
      </c>
    </row>
    <row r="611" spans="1:7">
      <c r="A611" s="5" t="s">
        <v>1842</v>
      </c>
      <c r="B611" s="5" t="s">
        <v>514</v>
      </c>
      <c r="C611" s="5" t="s">
        <v>518</v>
      </c>
      <c r="D611" s="5" t="s">
        <v>2569</v>
      </c>
      <c r="E611" s="5" t="s">
        <v>1849</v>
      </c>
      <c r="F611" s="5" t="s">
        <v>2562</v>
      </c>
      <c r="G611" t="str">
        <f t="shared" si="9"/>
        <v>53911 : Oil &amp; gas drilling mtrls</v>
      </c>
    </row>
    <row r="612" spans="1:7">
      <c r="A612" s="5" t="s">
        <v>1842</v>
      </c>
      <c r="B612" s="5" t="s">
        <v>514</v>
      </c>
      <c r="C612" s="5" t="s">
        <v>519</v>
      </c>
      <c r="D612" s="5" t="s">
        <v>2570</v>
      </c>
      <c r="E612" s="5" t="s">
        <v>1849</v>
      </c>
      <c r="F612" s="5" t="s">
        <v>2562</v>
      </c>
      <c r="G612" t="str">
        <f t="shared" si="9"/>
        <v>53911 : Oil &amp; gas drilling mtrls - Haz</v>
      </c>
    </row>
    <row r="613" spans="1:7">
      <c r="A613" s="5" t="s">
        <v>1842</v>
      </c>
      <c r="B613" s="5" t="s">
        <v>514</v>
      </c>
      <c r="C613" s="5" t="s">
        <v>520</v>
      </c>
      <c r="D613" s="5" t="s">
        <v>2571</v>
      </c>
      <c r="E613" s="5" t="s">
        <v>1849</v>
      </c>
      <c r="F613" s="5" t="s">
        <v>2562</v>
      </c>
      <c r="G613" t="str">
        <f t="shared" si="9"/>
        <v>53911 : Oil &amp; gas prodn equip</v>
      </c>
    </row>
    <row r="614" spans="1:7">
      <c r="A614" s="5" t="s">
        <v>1842</v>
      </c>
      <c r="B614" s="5" t="s">
        <v>514</v>
      </c>
      <c r="C614" s="5" t="s">
        <v>521</v>
      </c>
      <c r="D614" s="5" t="s">
        <v>2572</v>
      </c>
      <c r="E614" s="5" t="s">
        <v>1849</v>
      </c>
      <c r="F614" s="5" t="s">
        <v>2562</v>
      </c>
      <c r="G614" t="str">
        <f t="shared" si="9"/>
        <v>53911 : Oil &amp; gas prodn equip - Haz</v>
      </c>
    </row>
    <row r="615" spans="1:7">
      <c r="A615" s="5" t="s">
        <v>1842</v>
      </c>
      <c r="B615" s="5" t="s">
        <v>514</v>
      </c>
      <c r="C615" s="5" t="s">
        <v>523</v>
      </c>
      <c r="D615" s="5" t="s">
        <v>523</v>
      </c>
      <c r="E615" s="5" t="s">
        <v>1849</v>
      </c>
      <c r="F615" s="5" t="s">
        <v>2562</v>
      </c>
      <c r="G615" t="str">
        <f t="shared" si="9"/>
        <v>53911 : 2100000000</v>
      </c>
    </row>
    <row r="616" spans="1:7">
      <c r="A616" s="5" t="s">
        <v>1842</v>
      </c>
      <c r="B616" s="5" t="s">
        <v>514</v>
      </c>
      <c r="C616" s="5" t="s">
        <v>522</v>
      </c>
      <c r="D616" s="5" t="s">
        <v>2573</v>
      </c>
      <c r="E616" s="5" t="s">
        <v>1849</v>
      </c>
      <c r="F616" s="5" t="s">
        <v>2562</v>
      </c>
      <c r="G616" t="str">
        <f t="shared" si="9"/>
        <v>53911 : Agrcltl, lndscp equip</v>
      </c>
    </row>
    <row r="617" spans="1:7">
      <c r="A617" s="5" t="s">
        <v>1842</v>
      </c>
      <c r="B617" s="5" t="s">
        <v>514</v>
      </c>
      <c r="C617" s="5" t="s">
        <v>562</v>
      </c>
      <c r="D617" s="5" t="s">
        <v>2574</v>
      </c>
      <c r="E617" s="5" t="s">
        <v>1849</v>
      </c>
      <c r="F617" s="5" t="s">
        <v>2562</v>
      </c>
      <c r="G617" t="str">
        <f t="shared" si="9"/>
        <v>53911 : Agrcltl, lndscp equip - Haz</v>
      </c>
    </row>
    <row r="618" spans="1:7">
      <c r="A618" s="5" t="s">
        <v>1842</v>
      </c>
      <c r="B618" s="5" t="s">
        <v>514</v>
      </c>
      <c r="C618" s="5" t="s">
        <v>563</v>
      </c>
      <c r="D618" s="5" t="s">
        <v>2575</v>
      </c>
      <c r="E618" s="5" t="s">
        <v>1849</v>
      </c>
      <c r="F618" s="5" t="s">
        <v>2562</v>
      </c>
      <c r="G618" t="str">
        <f t="shared" si="9"/>
        <v>53911 : fshng, aquaculture equip</v>
      </c>
    </row>
    <row r="619" spans="1:7">
      <c r="A619" s="5" t="s">
        <v>1842</v>
      </c>
      <c r="B619" s="5" t="s">
        <v>514</v>
      </c>
      <c r="C619" s="5" t="s">
        <v>564</v>
      </c>
      <c r="D619" s="5" t="s">
        <v>2576</v>
      </c>
      <c r="E619" s="5" t="s">
        <v>1849</v>
      </c>
      <c r="F619" s="5" t="s">
        <v>2562</v>
      </c>
      <c r="G619" t="str">
        <f t="shared" si="9"/>
        <v>53911 : fshng, aquaculture equip - Haz</v>
      </c>
    </row>
    <row r="620" spans="1:7">
      <c r="A620" s="5" t="s">
        <v>1842</v>
      </c>
      <c r="B620" s="5" t="s">
        <v>514</v>
      </c>
      <c r="C620" s="5" t="s">
        <v>566</v>
      </c>
      <c r="D620" s="5" t="s">
        <v>566</v>
      </c>
      <c r="E620" s="5" t="s">
        <v>1849</v>
      </c>
      <c r="F620" s="5" t="s">
        <v>2562</v>
      </c>
      <c r="G620" t="str">
        <f t="shared" si="9"/>
        <v>53911 : 2200000000</v>
      </c>
    </row>
    <row r="621" spans="1:7">
      <c r="A621" s="5" t="s">
        <v>1842</v>
      </c>
      <c r="B621" s="5" t="s">
        <v>514</v>
      </c>
      <c r="C621" s="5" t="s">
        <v>565</v>
      </c>
      <c r="D621" s="5" t="s">
        <v>2577</v>
      </c>
      <c r="E621" s="5" t="s">
        <v>1849</v>
      </c>
      <c r="F621" s="5" t="s">
        <v>2562</v>
      </c>
      <c r="G621" t="str">
        <f t="shared" si="9"/>
        <v>53911 : Heavy constrctn equip</v>
      </c>
    </row>
    <row r="622" spans="1:7">
      <c r="A622" s="5" t="s">
        <v>1842</v>
      </c>
      <c r="B622" s="5" t="s">
        <v>514</v>
      </c>
      <c r="C622" s="5" t="s">
        <v>567</v>
      </c>
      <c r="D622" s="5" t="s">
        <v>2578</v>
      </c>
      <c r="E622" s="5" t="s">
        <v>1849</v>
      </c>
      <c r="F622" s="5" t="s">
        <v>2562</v>
      </c>
      <c r="G622" t="str">
        <f t="shared" si="9"/>
        <v>53911 : Heavy constrctn equip - Haz</v>
      </c>
    </row>
    <row r="623" spans="1:7">
      <c r="A623" s="5" t="s">
        <v>1842</v>
      </c>
      <c r="B623" s="5" t="s">
        <v>514</v>
      </c>
      <c r="C623" s="5" t="s">
        <v>569</v>
      </c>
      <c r="D623" s="5" t="s">
        <v>569</v>
      </c>
      <c r="E623" s="5" t="s">
        <v>1849</v>
      </c>
      <c r="F623" s="5" t="s">
        <v>2562</v>
      </c>
      <c r="G623" t="str">
        <f t="shared" si="9"/>
        <v>53911 : 2300000000</v>
      </c>
    </row>
    <row r="624" spans="1:7">
      <c r="A624" s="5" t="s">
        <v>1842</v>
      </c>
      <c r="B624" s="5" t="s">
        <v>514</v>
      </c>
      <c r="C624" s="5" t="s">
        <v>568</v>
      </c>
      <c r="D624" s="5" t="s">
        <v>2579</v>
      </c>
      <c r="E624" s="5" t="s">
        <v>1849</v>
      </c>
      <c r="F624" s="5" t="s">
        <v>2562</v>
      </c>
      <c r="G624" t="str">
        <f t="shared" si="9"/>
        <v>53911 : Mtrls processing machy</v>
      </c>
    </row>
    <row r="625" spans="1:7">
      <c r="A625" s="5" t="s">
        <v>1842</v>
      </c>
      <c r="B625" s="5" t="s">
        <v>514</v>
      </c>
      <c r="C625" s="5" t="s">
        <v>570</v>
      </c>
      <c r="D625" s="5" t="s">
        <v>2580</v>
      </c>
      <c r="E625" s="5" t="s">
        <v>1849</v>
      </c>
      <c r="F625" s="5" t="s">
        <v>2562</v>
      </c>
      <c r="G625" t="str">
        <f t="shared" si="9"/>
        <v>53911 : Mtrls processing machy - Haz</v>
      </c>
    </row>
    <row r="626" spans="1:7">
      <c r="A626" s="5" t="s">
        <v>1842</v>
      </c>
      <c r="B626" s="5" t="s">
        <v>514</v>
      </c>
      <c r="C626" s="5" t="s">
        <v>571</v>
      </c>
      <c r="D626" s="5" t="s">
        <v>2581</v>
      </c>
      <c r="E626" s="5" t="s">
        <v>1849</v>
      </c>
      <c r="F626" s="5" t="s">
        <v>2562</v>
      </c>
      <c r="G626" t="str">
        <f t="shared" si="9"/>
        <v>53911 : Petroleum machy</v>
      </c>
    </row>
    <row r="627" spans="1:7">
      <c r="A627" s="5" t="s">
        <v>1842</v>
      </c>
      <c r="B627" s="5" t="s">
        <v>514</v>
      </c>
      <c r="C627" s="5" t="s">
        <v>572</v>
      </c>
      <c r="D627" s="5" t="s">
        <v>2582</v>
      </c>
      <c r="E627" s="5" t="s">
        <v>1849</v>
      </c>
      <c r="F627" s="5" t="s">
        <v>2562</v>
      </c>
      <c r="G627" t="str">
        <f t="shared" si="9"/>
        <v>53911 : Petroleum machy - Haz</v>
      </c>
    </row>
    <row r="628" spans="1:7">
      <c r="A628" s="5" t="s">
        <v>1842</v>
      </c>
      <c r="B628" s="5" t="s">
        <v>514</v>
      </c>
      <c r="C628" s="5" t="s">
        <v>573</v>
      </c>
      <c r="D628" s="5" t="s">
        <v>2583</v>
      </c>
      <c r="E628" s="5" t="s">
        <v>1849</v>
      </c>
      <c r="F628" s="5" t="s">
        <v>2562</v>
      </c>
      <c r="G628" t="str">
        <f t="shared" si="9"/>
        <v>53911 : Textile &amp; fabric machy</v>
      </c>
    </row>
    <row r="629" spans="1:7">
      <c r="A629" s="5" t="s">
        <v>1842</v>
      </c>
      <c r="B629" s="5" t="s">
        <v>514</v>
      </c>
      <c r="C629" s="5" t="s">
        <v>574</v>
      </c>
      <c r="D629" s="5" t="s">
        <v>2584</v>
      </c>
      <c r="E629" s="5" t="s">
        <v>1849</v>
      </c>
      <c r="F629" s="5" t="s">
        <v>2562</v>
      </c>
      <c r="G629" t="str">
        <f t="shared" si="9"/>
        <v>53911 : Textile &amp; fabric machy - Haz</v>
      </c>
    </row>
    <row r="630" spans="1:7">
      <c r="A630" s="5" t="s">
        <v>1842</v>
      </c>
      <c r="B630" s="5" t="s">
        <v>514</v>
      </c>
      <c r="C630" s="5" t="s">
        <v>575</v>
      </c>
      <c r="D630" s="5" t="s">
        <v>2585</v>
      </c>
      <c r="E630" s="5" t="s">
        <v>1849</v>
      </c>
      <c r="F630" s="5" t="s">
        <v>2562</v>
      </c>
      <c r="G630" t="str">
        <f t="shared" si="9"/>
        <v>53911 : Lapidary equip</v>
      </c>
    </row>
    <row r="631" spans="1:7">
      <c r="A631" s="5" t="s">
        <v>1842</v>
      </c>
      <c r="B631" s="5" t="s">
        <v>514</v>
      </c>
      <c r="C631" s="5" t="s">
        <v>576</v>
      </c>
      <c r="D631" s="5" t="s">
        <v>2586</v>
      </c>
      <c r="E631" s="5" t="s">
        <v>1849</v>
      </c>
      <c r="F631" s="5" t="s">
        <v>2562</v>
      </c>
      <c r="G631" t="str">
        <f t="shared" si="9"/>
        <v>53911 : Lapidary equip - Haz</v>
      </c>
    </row>
    <row r="632" spans="1:7">
      <c r="A632" s="5" t="s">
        <v>1842</v>
      </c>
      <c r="B632" s="5" t="s">
        <v>514</v>
      </c>
      <c r="C632" s="5" t="s">
        <v>524</v>
      </c>
      <c r="D632" s="5" t="s">
        <v>2587</v>
      </c>
      <c r="E632" s="5" t="s">
        <v>1849</v>
      </c>
      <c r="F632" s="5" t="s">
        <v>2562</v>
      </c>
      <c r="G632" t="str">
        <f t="shared" si="9"/>
        <v>53911 : Leather repair equip</v>
      </c>
    </row>
    <row r="633" spans="1:7">
      <c r="A633" s="5" t="s">
        <v>1842</v>
      </c>
      <c r="B633" s="5" t="s">
        <v>514</v>
      </c>
      <c r="C633" s="5" t="s">
        <v>525</v>
      </c>
      <c r="D633" s="5" t="s">
        <v>2588</v>
      </c>
      <c r="E633" s="5" t="s">
        <v>1849</v>
      </c>
      <c r="F633" s="5" t="s">
        <v>2562</v>
      </c>
      <c r="G633" t="str">
        <f t="shared" si="9"/>
        <v>53911 : Leather repair equip - Haz</v>
      </c>
    </row>
    <row r="634" spans="1:7">
      <c r="A634" s="5" t="s">
        <v>1842</v>
      </c>
      <c r="B634" s="5" t="s">
        <v>514</v>
      </c>
      <c r="C634" s="5" t="s">
        <v>526</v>
      </c>
      <c r="D634" s="5" t="s">
        <v>2589</v>
      </c>
      <c r="E634" s="5" t="s">
        <v>1849</v>
      </c>
      <c r="F634" s="5" t="s">
        <v>2562</v>
      </c>
      <c r="G634" t="str">
        <f t="shared" si="9"/>
        <v>53911 : indstrl equip &amp; supplies</v>
      </c>
    </row>
    <row r="635" spans="1:7">
      <c r="A635" s="5" t="s">
        <v>1842</v>
      </c>
      <c r="B635" s="5" t="s">
        <v>514</v>
      </c>
      <c r="C635" s="5" t="s">
        <v>527</v>
      </c>
      <c r="D635" s="5" t="s">
        <v>2590</v>
      </c>
      <c r="E635" s="5" t="s">
        <v>1849</v>
      </c>
      <c r="F635" s="5" t="s">
        <v>2562</v>
      </c>
      <c r="G635" t="str">
        <f t="shared" si="9"/>
        <v>53911 : indstrl equip &amp; supplies - Haz</v>
      </c>
    </row>
    <row r="636" spans="1:7">
      <c r="A636" s="5" t="s">
        <v>1842</v>
      </c>
      <c r="B636" s="5" t="s">
        <v>514</v>
      </c>
      <c r="C636" s="5" t="s">
        <v>528</v>
      </c>
      <c r="D636" s="5" t="s">
        <v>2591</v>
      </c>
      <c r="E636" s="5" t="s">
        <v>1849</v>
      </c>
      <c r="F636" s="5" t="s">
        <v>2562</v>
      </c>
      <c r="G636" t="str">
        <f t="shared" si="9"/>
        <v>53911 : Foundry equip</v>
      </c>
    </row>
    <row r="637" spans="1:7">
      <c r="A637" s="5" t="s">
        <v>1842</v>
      </c>
      <c r="B637" s="5" t="s">
        <v>514</v>
      </c>
      <c r="C637" s="5" t="s">
        <v>529</v>
      </c>
      <c r="D637" s="5" t="s">
        <v>2592</v>
      </c>
      <c r="E637" s="5" t="s">
        <v>1849</v>
      </c>
      <c r="F637" s="5" t="s">
        <v>2562</v>
      </c>
      <c r="G637" t="str">
        <f t="shared" si="9"/>
        <v>53911 : Foundry equip - Haz</v>
      </c>
    </row>
    <row r="638" spans="1:7">
      <c r="A638" s="5" t="s">
        <v>1842</v>
      </c>
      <c r="B638" s="5" t="s">
        <v>514</v>
      </c>
      <c r="C638" s="5" t="s">
        <v>531</v>
      </c>
      <c r="D638" s="5" t="s">
        <v>2593</v>
      </c>
      <c r="E638" s="5" t="s">
        <v>1849</v>
      </c>
      <c r="F638" s="5" t="s">
        <v>2562</v>
      </c>
      <c r="G638" t="str">
        <f t="shared" si="9"/>
        <v>53911 : Mixers &amp; their parts &amp; accssrs</v>
      </c>
    </row>
    <row r="639" spans="1:7">
      <c r="A639" s="5" t="s">
        <v>1842</v>
      </c>
      <c r="B639" s="5" t="s">
        <v>514</v>
      </c>
      <c r="C639" s="5" t="s">
        <v>532</v>
      </c>
      <c r="D639" s="5" t="s">
        <v>2594</v>
      </c>
      <c r="E639" s="5" t="s">
        <v>1849</v>
      </c>
      <c r="F639" s="5" t="s">
        <v>2562</v>
      </c>
      <c r="G639" t="str">
        <f t="shared" si="9"/>
        <v>53911 : Mass transfer equip</v>
      </c>
    </row>
    <row r="640" spans="1:7">
      <c r="A640" s="5" t="s">
        <v>1842</v>
      </c>
      <c r="B640" s="5" t="s">
        <v>514</v>
      </c>
      <c r="C640" s="5" t="s">
        <v>533</v>
      </c>
      <c r="D640" s="5" t="s">
        <v>2595</v>
      </c>
      <c r="E640" s="5" t="s">
        <v>1849</v>
      </c>
      <c r="F640" s="5" t="s">
        <v>2562</v>
      </c>
      <c r="G640" t="str">
        <f t="shared" si="9"/>
        <v>53911 : Mass transfer equip - Haz</v>
      </c>
    </row>
    <row r="641" spans="1:7">
      <c r="A641" s="5" t="s">
        <v>1842</v>
      </c>
      <c r="B641" s="5" t="s">
        <v>514</v>
      </c>
      <c r="C641" s="5" t="s">
        <v>577</v>
      </c>
      <c r="D641" s="5" t="s">
        <v>2596</v>
      </c>
      <c r="E641" s="5" t="s">
        <v>1849</v>
      </c>
      <c r="F641" s="5" t="s">
        <v>2562</v>
      </c>
      <c r="G641" t="str">
        <f t="shared" si="9"/>
        <v>53911 : Electronic mfg equip</v>
      </c>
    </row>
    <row r="642" spans="1:7">
      <c r="A642" s="5" t="s">
        <v>1842</v>
      </c>
      <c r="B642" s="5" t="s">
        <v>514</v>
      </c>
      <c r="C642" s="5" t="s">
        <v>578</v>
      </c>
      <c r="D642" s="5" t="s">
        <v>2597</v>
      </c>
      <c r="E642" s="5" t="s">
        <v>1849</v>
      </c>
      <c r="F642" s="5" t="s">
        <v>2562</v>
      </c>
      <c r="G642" t="str">
        <f t="shared" si="9"/>
        <v>53911 : Electronic mfg equip - Haz</v>
      </c>
    </row>
    <row r="643" spans="1:7">
      <c r="A643" s="5" t="s">
        <v>1842</v>
      </c>
      <c r="B643" s="5" t="s">
        <v>514</v>
      </c>
      <c r="C643" s="5" t="s">
        <v>579</v>
      </c>
      <c r="D643" s="5" t="s">
        <v>2598</v>
      </c>
      <c r="E643" s="5" t="s">
        <v>1849</v>
      </c>
      <c r="F643" s="5" t="s">
        <v>2562</v>
      </c>
      <c r="G643" t="str">
        <f t="shared" si="9"/>
        <v>53911 : Chicken processing equip</v>
      </c>
    </row>
    <row r="644" spans="1:7">
      <c r="A644" s="5" t="s">
        <v>1842</v>
      </c>
      <c r="B644" s="5" t="s">
        <v>514</v>
      </c>
      <c r="C644" s="5" t="s">
        <v>580</v>
      </c>
      <c r="D644" s="5" t="s">
        <v>2599</v>
      </c>
      <c r="E644" s="5" t="s">
        <v>1849</v>
      </c>
      <c r="F644" s="5" t="s">
        <v>2562</v>
      </c>
      <c r="G644" t="str">
        <f t="shared" ref="G644:G707" si="10">CONCATENATE(E644, " : ", D644)</f>
        <v>53911 : Chicken processing equip - Haz</v>
      </c>
    </row>
    <row r="645" spans="1:7">
      <c r="A645" s="5" t="s">
        <v>1842</v>
      </c>
      <c r="B645" s="5" t="s">
        <v>514</v>
      </c>
      <c r="C645" s="5" t="s">
        <v>581</v>
      </c>
      <c r="D645" s="5" t="s">
        <v>2600</v>
      </c>
      <c r="E645" s="5" t="s">
        <v>1849</v>
      </c>
      <c r="F645" s="5" t="s">
        <v>2562</v>
      </c>
      <c r="G645" t="str">
        <f t="shared" si="10"/>
        <v>53911 : Sawmill &amp; lumber equip</v>
      </c>
    </row>
    <row r="646" spans="1:7">
      <c r="A646" s="5" t="s">
        <v>1842</v>
      </c>
      <c r="B646" s="5" t="s">
        <v>514</v>
      </c>
      <c r="C646" s="5" t="s">
        <v>582</v>
      </c>
      <c r="D646" s="5" t="s">
        <v>2601</v>
      </c>
      <c r="E646" s="5" t="s">
        <v>1849</v>
      </c>
      <c r="F646" s="5" t="s">
        <v>2562</v>
      </c>
      <c r="G646" t="str">
        <f t="shared" si="10"/>
        <v>53911 : Sawmill &amp; lumber equip - Haz</v>
      </c>
    </row>
    <row r="647" spans="1:7">
      <c r="A647" s="5" t="s">
        <v>1842</v>
      </c>
      <c r="B647" s="5" t="s">
        <v>514</v>
      </c>
      <c r="C647" s="5" t="s">
        <v>583</v>
      </c>
      <c r="D647" s="5" t="s">
        <v>2602</v>
      </c>
      <c r="E647" s="5" t="s">
        <v>1849</v>
      </c>
      <c r="F647" s="5" t="s">
        <v>2562</v>
      </c>
      <c r="G647" t="str">
        <f t="shared" si="10"/>
        <v>53911 : Metal cutting machy</v>
      </c>
    </row>
    <row r="648" spans="1:7">
      <c r="A648" s="5" t="s">
        <v>1842</v>
      </c>
      <c r="B648" s="5" t="s">
        <v>514</v>
      </c>
      <c r="C648" s="5" t="s">
        <v>534</v>
      </c>
      <c r="D648" s="5" t="s">
        <v>2603</v>
      </c>
      <c r="E648" s="5" t="s">
        <v>1849</v>
      </c>
      <c r="F648" s="5" t="s">
        <v>2562</v>
      </c>
      <c r="G648" t="str">
        <f t="shared" si="10"/>
        <v>53911 : Metal cutting machy - Haz</v>
      </c>
    </row>
    <row r="649" spans="1:7">
      <c r="A649" s="5" t="s">
        <v>1842</v>
      </c>
      <c r="B649" s="5" t="s">
        <v>514</v>
      </c>
      <c r="C649" s="5" t="s">
        <v>535</v>
      </c>
      <c r="D649" s="5" t="s">
        <v>2604</v>
      </c>
      <c r="E649" s="5" t="s">
        <v>1849</v>
      </c>
      <c r="F649" s="5" t="s">
        <v>2562</v>
      </c>
      <c r="G649" t="str">
        <f t="shared" si="10"/>
        <v>53911 : Metal forming machy</v>
      </c>
    </row>
    <row r="650" spans="1:7">
      <c r="A650" s="5" t="s">
        <v>1842</v>
      </c>
      <c r="B650" s="5" t="s">
        <v>514</v>
      </c>
      <c r="C650" s="5" t="s">
        <v>536</v>
      </c>
      <c r="D650" s="5" t="s">
        <v>2605</v>
      </c>
      <c r="E650" s="5" t="s">
        <v>1849</v>
      </c>
      <c r="F650" s="5" t="s">
        <v>2562</v>
      </c>
      <c r="G650" t="str">
        <f t="shared" si="10"/>
        <v>53911 : Metal forming machy - Haz</v>
      </c>
    </row>
    <row r="651" spans="1:7">
      <c r="A651" s="5" t="s">
        <v>1842</v>
      </c>
      <c r="B651" s="5" t="s">
        <v>514</v>
      </c>
      <c r="C651" s="5" t="s">
        <v>537</v>
      </c>
      <c r="D651" s="5" t="s">
        <v>2606</v>
      </c>
      <c r="E651" s="5" t="s">
        <v>1849</v>
      </c>
      <c r="F651" s="5" t="s">
        <v>2562</v>
      </c>
      <c r="G651" t="str">
        <f t="shared" si="10"/>
        <v>53911 : Rapid prototyping machy</v>
      </c>
    </row>
    <row r="652" spans="1:7">
      <c r="A652" s="5" t="s">
        <v>1842</v>
      </c>
      <c r="B652" s="5" t="s">
        <v>514</v>
      </c>
      <c r="C652" s="5" t="s">
        <v>538</v>
      </c>
      <c r="D652" s="5" t="s">
        <v>2607</v>
      </c>
      <c r="E652" s="5" t="s">
        <v>1849</v>
      </c>
      <c r="F652" s="5" t="s">
        <v>2562</v>
      </c>
      <c r="G652" t="str">
        <f t="shared" si="10"/>
        <v>53911 : Rapid prototyping machy - Haz</v>
      </c>
    </row>
    <row r="653" spans="1:7">
      <c r="A653" s="5" t="s">
        <v>1842</v>
      </c>
      <c r="B653" s="5" t="s">
        <v>514</v>
      </c>
      <c r="C653" s="5" t="s">
        <v>539</v>
      </c>
      <c r="D653" s="5" t="s">
        <v>2608</v>
      </c>
      <c r="E653" s="5" t="s">
        <v>1849</v>
      </c>
      <c r="F653" s="5" t="s">
        <v>2562</v>
      </c>
      <c r="G653" t="str">
        <f t="shared" si="10"/>
        <v>53911 : Welding, soldering machy</v>
      </c>
    </row>
    <row r="654" spans="1:7">
      <c r="A654" s="5" t="s">
        <v>1842</v>
      </c>
      <c r="B654" s="5" t="s">
        <v>514</v>
      </c>
      <c r="C654" s="5" t="s">
        <v>540</v>
      </c>
      <c r="D654" s="5" t="s">
        <v>2609</v>
      </c>
      <c r="E654" s="5" t="s">
        <v>1849</v>
      </c>
      <c r="F654" s="5" t="s">
        <v>2562</v>
      </c>
      <c r="G654" t="str">
        <f t="shared" si="10"/>
        <v>53911 : Welding, soldering machy - Haz</v>
      </c>
    </row>
    <row r="655" spans="1:7">
      <c r="A655" s="5" t="s">
        <v>1842</v>
      </c>
      <c r="B655" s="5" t="s">
        <v>514</v>
      </c>
      <c r="C655" s="5" t="s">
        <v>541</v>
      </c>
      <c r="D655" s="5" t="s">
        <v>2610</v>
      </c>
      <c r="E655" s="5" t="s">
        <v>1849</v>
      </c>
      <c r="F655" s="5" t="s">
        <v>2562</v>
      </c>
      <c r="G655" t="str">
        <f t="shared" si="10"/>
        <v>53911 : Metal treatment machy</v>
      </c>
    </row>
    <row r="656" spans="1:7">
      <c r="A656" s="5" t="s">
        <v>1842</v>
      </c>
      <c r="B656" s="5" t="s">
        <v>514</v>
      </c>
      <c r="C656" s="5" t="s">
        <v>542</v>
      </c>
      <c r="D656" s="5" t="s">
        <v>2611</v>
      </c>
      <c r="E656" s="5" t="s">
        <v>1849</v>
      </c>
      <c r="F656" s="5" t="s">
        <v>2562</v>
      </c>
      <c r="G656" t="str">
        <f t="shared" si="10"/>
        <v>53911 : Metal treatment machy - Haz</v>
      </c>
    </row>
    <row r="657" spans="1:7">
      <c r="A657" s="5" t="s">
        <v>1842</v>
      </c>
      <c r="B657" s="5" t="s">
        <v>514</v>
      </c>
      <c r="C657" s="5" t="s">
        <v>543</v>
      </c>
      <c r="D657" s="5" t="s">
        <v>2612</v>
      </c>
      <c r="E657" s="5" t="s">
        <v>1849</v>
      </c>
      <c r="F657" s="5" t="s">
        <v>2562</v>
      </c>
      <c r="G657" t="str">
        <f t="shared" si="10"/>
        <v>53911 : indstrl machine tools</v>
      </c>
    </row>
    <row r="658" spans="1:7">
      <c r="A658" s="5" t="s">
        <v>1842</v>
      </c>
      <c r="B658" s="5" t="s">
        <v>514</v>
      </c>
      <c r="C658" s="5" t="s">
        <v>544</v>
      </c>
      <c r="D658" s="5" t="s">
        <v>2613</v>
      </c>
      <c r="E658" s="5" t="s">
        <v>1849</v>
      </c>
      <c r="F658" s="5" t="s">
        <v>2562</v>
      </c>
      <c r="G658" t="str">
        <f t="shared" si="10"/>
        <v>53911 : indstrl machine tools - Haz</v>
      </c>
    </row>
    <row r="659" spans="1:7">
      <c r="A659" s="5" t="s">
        <v>1842</v>
      </c>
      <c r="B659" s="5" t="s">
        <v>514</v>
      </c>
      <c r="C659" s="5" t="s">
        <v>546</v>
      </c>
      <c r="D659" s="5" t="s">
        <v>546</v>
      </c>
      <c r="E659" s="5" t="s">
        <v>1849</v>
      </c>
      <c r="F659" s="5" t="s">
        <v>2562</v>
      </c>
      <c r="G659" t="str">
        <f t="shared" si="10"/>
        <v>53911 : 2400000000</v>
      </c>
    </row>
    <row r="660" spans="1:7">
      <c r="A660" s="5" t="s">
        <v>1842</v>
      </c>
      <c r="B660" s="5" t="s">
        <v>514</v>
      </c>
      <c r="C660" s="5" t="s">
        <v>545</v>
      </c>
      <c r="D660" s="5" t="s">
        <v>2614</v>
      </c>
      <c r="E660" s="5" t="s">
        <v>1849</v>
      </c>
      <c r="F660" s="5" t="s">
        <v>2562</v>
      </c>
      <c r="G660" t="str">
        <f t="shared" si="10"/>
        <v>53911 : Material h&amp;ling equip</v>
      </c>
    </row>
    <row r="661" spans="1:7">
      <c r="A661" s="5" t="s">
        <v>1842</v>
      </c>
      <c r="B661" s="5" t="s">
        <v>514</v>
      </c>
      <c r="C661" s="5" t="s">
        <v>547</v>
      </c>
      <c r="D661" s="5" t="s">
        <v>2615</v>
      </c>
      <c r="E661" s="5" t="s">
        <v>1849</v>
      </c>
      <c r="F661" s="5" t="s">
        <v>2562</v>
      </c>
      <c r="G661" t="str">
        <f t="shared" si="10"/>
        <v>53911 : Material h&amp;ling equip - Haz</v>
      </c>
    </row>
    <row r="662" spans="1:7">
      <c r="A662" s="5" t="s">
        <v>1842</v>
      </c>
      <c r="B662" s="5" t="s">
        <v>514</v>
      </c>
      <c r="C662" s="5" t="s">
        <v>607</v>
      </c>
      <c r="D662" s="5" t="s">
        <v>2616</v>
      </c>
      <c r="E662" s="5" t="s">
        <v>1849</v>
      </c>
      <c r="F662" s="5" t="s">
        <v>2562</v>
      </c>
      <c r="G662" t="str">
        <f t="shared" si="10"/>
        <v>53911 : Non motorized cycles</v>
      </c>
    </row>
    <row r="663" spans="1:7">
      <c r="A663" s="5" t="s">
        <v>1842</v>
      </c>
      <c r="B663" s="5" t="s">
        <v>514</v>
      </c>
      <c r="C663" s="5" t="s">
        <v>601</v>
      </c>
      <c r="D663" s="5" t="s">
        <v>2617</v>
      </c>
      <c r="E663" s="5" t="s">
        <v>1849</v>
      </c>
      <c r="F663" s="5" t="s">
        <v>2562</v>
      </c>
      <c r="G663" t="str">
        <f t="shared" si="10"/>
        <v>53911 : Non motorized cycles - Grn</v>
      </c>
    </row>
    <row r="664" spans="1:7">
      <c r="A664" s="5" t="s">
        <v>1842</v>
      </c>
      <c r="B664" s="5" t="s">
        <v>514</v>
      </c>
      <c r="C664" s="5" t="s">
        <v>612</v>
      </c>
      <c r="D664" s="5" t="s">
        <v>2618</v>
      </c>
      <c r="E664" s="5" t="s">
        <v>1849</v>
      </c>
      <c r="F664" s="5" t="s">
        <v>2562</v>
      </c>
      <c r="G664" t="str">
        <f t="shared" si="10"/>
        <v>53911 : Atomic &amp; nuclear equip</v>
      </c>
    </row>
    <row r="665" spans="1:7">
      <c r="A665" s="5" t="s">
        <v>1842</v>
      </c>
      <c r="B665" s="5" t="s">
        <v>514</v>
      </c>
      <c r="C665" s="5" t="s">
        <v>613</v>
      </c>
      <c r="D665" s="5" t="s">
        <v>2619</v>
      </c>
      <c r="E665" s="5" t="s">
        <v>1849</v>
      </c>
      <c r="F665" s="5" t="s">
        <v>2562</v>
      </c>
      <c r="G665" t="str">
        <f t="shared" si="10"/>
        <v>53911 : Atom Nuc equip -Haz&lt;$5K</v>
      </c>
    </row>
    <row r="666" spans="1:7">
      <c r="A666" s="5" t="s">
        <v>1842</v>
      </c>
      <c r="B666" s="5" t="s">
        <v>514</v>
      </c>
      <c r="C666" s="5" t="s">
        <v>2620</v>
      </c>
      <c r="D666" s="5" t="s">
        <v>2621</v>
      </c>
      <c r="E666" s="5" t="s">
        <v>1849</v>
      </c>
      <c r="F666" s="5" t="s">
        <v>2562</v>
      </c>
      <c r="G666" t="str">
        <f t="shared" si="10"/>
        <v>53911 : Atom Nuc equip -Haz&lt;$5K asset</v>
      </c>
    </row>
    <row r="667" spans="1:7">
      <c r="A667" s="5" t="s">
        <v>1842</v>
      </c>
      <c r="B667" s="5" t="s">
        <v>514</v>
      </c>
      <c r="C667" s="5" t="s">
        <v>614</v>
      </c>
      <c r="D667" s="5" t="s">
        <v>2622</v>
      </c>
      <c r="E667" s="5" t="s">
        <v>1849</v>
      </c>
      <c r="F667" s="5" t="s">
        <v>2562</v>
      </c>
      <c r="G667" t="str">
        <f t="shared" si="10"/>
        <v>53911 : Hydraulic equip</v>
      </c>
    </row>
    <row r="668" spans="1:7">
      <c r="A668" s="5" t="s">
        <v>1842</v>
      </c>
      <c r="B668" s="5" t="s">
        <v>514</v>
      </c>
      <c r="C668" s="5" t="s">
        <v>615</v>
      </c>
      <c r="D668" s="5" t="s">
        <v>2623</v>
      </c>
      <c r="E668" s="5" t="s">
        <v>1849</v>
      </c>
      <c r="F668" s="5" t="s">
        <v>2562</v>
      </c>
      <c r="G668" t="str">
        <f t="shared" si="10"/>
        <v>53911 : Hydraulic equip - Haz</v>
      </c>
    </row>
    <row r="669" spans="1:7">
      <c r="A669" s="5" t="s">
        <v>1842</v>
      </c>
      <c r="B669" s="5" t="s">
        <v>514</v>
      </c>
      <c r="C669" s="5" t="s">
        <v>616</v>
      </c>
      <c r="D669" s="5" t="s">
        <v>2624</v>
      </c>
      <c r="E669" s="5" t="s">
        <v>1849</v>
      </c>
      <c r="F669" s="5" t="s">
        <v>2562</v>
      </c>
      <c r="G669" t="str">
        <f t="shared" si="10"/>
        <v>53911 : Pneumatic equip</v>
      </c>
    </row>
    <row r="670" spans="1:7">
      <c r="A670" s="5" t="s">
        <v>1842</v>
      </c>
      <c r="B670" s="5" t="s">
        <v>514</v>
      </c>
      <c r="C670" s="5" t="s">
        <v>617</v>
      </c>
      <c r="D670" s="5" t="s">
        <v>2625</v>
      </c>
      <c r="E670" s="5" t="s">
        <v>1849</v>
      </c>
      <c r="F670" s="5" t="s">
        <v>2562</v>
      </c>
      <c r="G670" t="str">
        <f t="shared" si="10"/>
        <v>53911 : Pneumatic equip - Haz</v>
      </c>
    </row>
    <row r="671" spans="1:7">
      <c r="A671" s="5" t="s">
        <v>1842</v>
      </c>
      <c r="B671" s="5" t="s">
        <v>514</v>
      </c>
      <c r="C671" s="5" t="s">
        <v>619</v>
      </c>
      <c r="D671" s="5" t="s">
        <v>2626</v>
      </c>
      <c r="E671" s="5" t="s">
        <v>1849</v>
      </c>
      <c r="F671" s="5" t="s">
        <v>2562</v>
      </c>
      <c r="G671" t="str">
        <f t="shared" si="10"/>
        <v>53911 : automtv specialty tools - Haz</v>
      </c>
    </row>
    <row r="672" spans="1:7">
      <c r="A672" s="5" t="s">
        <v>1842</v>
      </c>
      <c r="B672" s="5" t="s">
        <v>514</v>
      </c>
      <c r="C672" s="5" t="s">
        <v>624</v>
      </c>
      <c r="D672" s="5" t="s">
        <v>624</v>
      </c>
      <c r="E672" s="5" t="s">
        <v>1849</v>
      </c>
      <c r="F672" s="5" t="s">
        <v>2562</v>
      </c>
      <c r="G672" t="str">
        <f t="shared" si="10"/>
        <v>53911 : 4100000000</v>
      </c>
    </row>
    <row r="673" spans="1:7">
      <c r="A673" s="5" t="s">
        <v>1842</v>
      </c>
      <c r="B673" s="5" t="s">
        <v>514</v>
      </c>
      <c r="C673" s="5" t="s">
        <v>627</v>
      </c>
      <c r="D673" s="5" t="s">
        <v>2627</v>
      </c>
      <c r="E673" s="5" t="s">
        <v>1849</v>
      </c>
      <c r="F673" s="5" t="s">
        <v>2562</v>
      </c>
      <c r="G673" t="str">
        <f t="shared" si="10"/>
        <v>53911 : Laundry, dry clng equip</v>
      </c>
    </row>
    <row r="674" spans="1:7">
      <c r="A674" s="5" t="s">
        <v>1842</v>
      </c>
      <c r="B674" s="5" t="s">
        <v>514</v>
      </c>
      <c r="C674" s="5" t="s">
        <v>628</v>
      </c>
      <c r="D674" s="5" t="s">
        <v>2628</v>
      </c>
      <c r="E674" s="5" t="s">
        <v>1849</v>
      </c>
      <c r="F674" s="5" t="s">
        <v>2562</v>
      </c>
      <c r="G674" t="str">
        <f t="shared" si="10"/>
        <v>53911 : Laundry, dry clng equip - Haz</v>
      </c>
    </row>
    <row r="675" spans="1:7">
      <c r="A675" s="5" t="s">
        <v>1842</v>
      </c>
      <c r="B675" s="5" t="s">
        <v>514</v>
      </c>
      <c r="C675" s="5" t="s">
        <v>630</v>
      </c>
      <c r="D675" s="5" t="s">
        <v>630</v>
      </c>
      <c r="E675" s="5" t="s">
        <v>1849</v>
      </c>
      <c r="F675" s="5" t="s">
        <v>2562</v>
      </c>
      <c r="G675" t="str">
        <f t="shared" si="10"/>
        <v>53911 : 4800000000</v>
      </c>
    </row>
    <row r="676" spans="1:7">
      <c r="A676" s="5" t="s">
        <v>1842</v>
      </c>
      <c r="B676" s="5" t="s">
        <v>514</v>
      </c>
      <c r="C676" s="5" t="s">
        <v>629</v>
      </c>
      <c r="D676" s="5" t="s">
        <v>2629</v>
      </c>
      <c r="E676" s="5" t="s">
        <v>1849</v>
      </c>
      <c r="F676" s="5" t="s">
        <v>2562</v>
      </c>
      <c r="G676" t="str">
        <f t="shared" si="10"/>
        <v>53911 : Institutional food svcs equip</v>
      </c>
    </row>
    <row r="677" spans="1:7">
      <c r="A677" s="5" t="s">
        <v>1842</v>
      </c>
      <c r="B677" s="5" t="s">
        <v>514</v>
      </c>
      <c r="C677" s="5" t="s">
        <v>631</v>
      </c>
      <c r="D677" s="5" t="s">
        <v>2630</v>
      </c>
      <c r="E677" s="5" t="s">
        <v>1849</v>
      </c>
      <c r="F677" s="5" t="s">
        <v>2562</v>
      </c>
      <c r="G677" t="str">
        <f t="shared" si="10"/>
        <v>53911 : Vending machines</v>
      </c>
    </row>
    <row r="678" spans="1:7">
      <c r="A678" s="5" t="s">
        <v>1842</v>
      </c>
      <c r="B678" s="5" t="s">
        <v>514</v>
      </c>
      <c r="C678" s="5" t="s">
        <v>632</v>
      </c>
      <c r="D678" s="5" t="s">
        <v>2631</v>
      </c>
      <c r="E678" s="5" t="s">
        <v>1849</v>
      </c>
      <c r="F678" s="5" t="s">
        <v>2562</v>
      </c>
      <c r="G678" t="str">
        <f t="shared" si="10"/>
        <v>53911 : Gambling or wagering equip</v>
      </c>
    </row>
    <row r="679" spans="1:7">
      <c r="A679" s="5" t="s">
        <v>1842</v>
      </c>
      <c r="B679" s="5" t="s">
        <v>514</v>
      </c>
      <c r="C679" s="5" t="s">
        <v>644</v>
      </c>
      <c r="D679" s="5" t="s">
        <v>2632</v>
      </c>
      <c r="E679" s="5" t="s">
        <v>1849</v>
      </c>
      <c r="F679" s="5" t="s">
        <v>2562</v>
      </c>
      <c r="G679" t="str">
        <f t="shared" si="10"/>
        <v>53911 : Gemstones</v>
      </c>
    </row>
    <row r="680" spans="1:7">
      <c r="A680" s="5" t="s">
        <v>1842</v>
      </c>
      <c r="B680" s="5" t="s">
        <v>514</v>
      </c>
      <c r="C680" s="5" t="s">
        <v>622</v>
      </c>
      <c r="D680" s="5" t="s">
        <v>622</v>
      </c>
      <c r="E680" s="5" t="s">
        <v>1851</v>
      </c>
      <c r="F680" s="5" t="s">
        <v>2395</v>
      </c>
      <c r="G680" t="str">
        <f t="shared" si="10"/>
        <v>54006 : 4000000000</v>
      </c>
    </row>
    <row r="681" spans="1:7">
      <c r="A681" s="5" t="s">
        <v>1842</v>
      </c>
      <c r="B681" s="5" t="s">
        <v>514</v>
      </c>
      <c r="C681" s="5" t="s">
        <v>621</v>
      </c>
      <c r="D681" s="5" t="s">
        <v>2633</v>
      </c>
      <c r="E681" s="5" t="s">
        <v>1851</v>
      </c>
      <c r="F681" s="5" t="s">
        <v>2395</v>
      </c>
      <c r="G681" t="str">
        <f t="shared" si="10"/>
        <v>54006 : HVAC equip</v>
      </c>
    </row>
    <row r="682" spans="1:7">
      <c r="A682" s="5" t="s">
        <v>1842</v>
      </c>
      <c r="B682" s="5" t="s">
        <v>514</v>
      </c>
      <c r="C682" s="5" t="s">
        <v>623</v>
      </c>
      <c r="D682" s="5" t="s">
        <v>2634</v>
      </c>
      <c r="E682" s="5" t="s">
        <v>1851</v>
      </c>
      <c r="F682" s="5" t="s">
        <v>2395</v>
      </c>
      <c r="G682" t="str">
        <f t="shared" si="10"/>
        <v>54006 : HVAC equip - Grn</v>
      </c>
    </row>
    <row r="683" spans="1:7">
      <c r="A683" s="5" t="s">
        <v>1842</v>
      </c>
      <c r="B683" s="5" t="s">
        <v>514</v>
      </c>
      <c r="C683" s="5" t="s">
        <v>652</v>
      </c>
      <c r="D683" s="5" t="s">
        <v>2635</v>
      </c>
      <c r="E683" s="5" t="s">
        <v>1853</v>
      </c>
      <c r="F683" s="5" t="s">
        <v>2395</v>
      </c>
      <c r="G683" t="str">
        <f t="shared" si="10"/>
        <v>54010 : Land mgmt &amp; protection</v>
      </c>
    </row>
    <row r="684" spans="1:7">
      <c r="A684" s="5" t="s">
        <v>1842</v>
      </c>
      <c r="B684" s="5" t="s">
        <v>514</v>
      </c>
      <c r="C684" s="5" t="s">
        <v>653</v>
      </c>
      <c r="D684" s="5" t="s">
        <v>2636</v>
      </c>
      <c r="E684" s="5" t="s">
        <v>1853</v>
      </c>
      <c r="F684" s="5" t="s">
        <v>2395</v>
      </c>
      <c r="G684" t="str">
        <f t="shared" si="10"/>
        <v>54010 : Land mgmt &amp; protection - Haz</v>
      </c>
    </row>
    <row r="685" spans="1:7">
      <c r="A685" s="5" t="s">
        <v>1842</v>
      </c>
      <c r="B685" s="5" t="s">
        <v>514</v>
      </c>
      <c r="C685" s="5" t="s">
        <v>648</v>
      </c>
      <c r="D685" s="5" t="s">
        <v>2637</v>
      </c>
      <c r="E685" s="5" t="s">
        <v>1853</v>
      </c>
      <c r="F685" s="5" t="s">
        <v>2395</v>
      </c>
      <c r="G685" t="str">
        <f t="shared" si="10"/>
        <v>54010 : Land mgmt &amp; protection - Grn</v>
      </c>
    </row>
    <row r="686" spans="1:7">
      <c r="A686" s="5" t="s">
        <v>1842</v>
      </c>
      <c r="B686" s="5" t="s">
        <v>514</v>
      </c>
      <c r="C686" s="5" t="s">
        <v>654</v>
      </c>
      <c r="D686" s="5" t="s">
        <v>2638</v>
      </c>
      <c r="E686" s="5" t="s">
        <v>1853</v>
      </c>
      <c r="F686" s="5" t="s">
        <v>2395</v>
      </c>
      <c r="G686" t="str">
        <f t="shared" si="10"/>
        <v>54010 : frstry</v>
      </c>
    </row>
    <row r="687" spans="1:7">
      <c r="A687" s="5" t="s">
        <v>1842</v>
      </c>
      <c r="B687" s="5" t="s">
        <v>514</v>
      </c>
      <c r="C687" s="5" t="s">
        <v>649</v>
      </c>
      <c r="D687" s="5" t="s">
        <v>2639</v>
      </c>
      <c r="E687" s="5" t="s">
        <v>1853</v>
      </c>
      <c r="F687" s="5" t="s">
        <v>2395</v>
      </c>
      <c r="G687" t="str">
        <f t="shared" si="10"/>
        <v>54010 : frstry - Grn</v>
      </c>
    </row>
    <row r="688" spans="1:7">
      <c r="A688" s="5" t="s">
        <v>1842</v>
      </c>
      <c r="B688" s="5" t="s">
        <v>514</v>
      </c>
      <c r="C688" s="5" t="s">
        <v>655</v>
      </c>
      <c r="D688" s="5" t="s">
        <v>2640</v>
      </c>
      <c r="E688" s="5" t="s">
        <v>1853</v>
      </c>
      <c r="F688" s="5" t="s">
        <v>2395</v>
      </c>
      <c r="G688" t="str">
        <f t="shared" si="10"/>
        <v>54010 : Wildlife &amp; flora</v>
      </c>
    </row>
    <row r="689" spans="1:7">
      <c r="A689" s="5" t="s">
        <v>1842</v>
      </c>
      <c r="B689" s="5" t="s">
        <v>514</v>
      </c>
      <c r="C689" s="5" t="s">
        <v>656</v>
      </c>
      <c r="D689" s="5" t="s">
        <v>2641</v>
      </c>
      <c r="E689" s="5" t="s">
        <v>1853</v>
      </c>
      <c r="F689" s="5" t="s">
        <v>2395</v>
      </c>
      <c r="G689" t="str">
        <f t="shared" si="10"/>
        <v>54010 : Wildlife &amp; flora - Grn</v>
      </c>
    </row>
    <row r="690" spans="1:7">
      <c r="A690" s="5" t="s">
        <v>1842</v>
      </c>
      <c r="B690" s="5" t="s">
        <v>514</v>
      </c>
      <c r="C690" s="5" t="s">
        <v>2642</v>
      </c>
      <c r="D690" s="5" t="s">
        <v>2643</v>
      </c>
      <c r="E690" s="5" t="s">
        <v>1855</v>
      </c>
      <c r="F690" s="5" t="s">
        <v>2544</v>
      </c>
      <c r="G690" t="str">
        <f t="shared" si="10"/>
        <v>55004 : Food &amp; beverage equip &gt;$5K</v>
      </c>
    </row>
    <row r="691" spans="1:7">
      <c r="A691" s="5" t="s">
        <v>1842</v>
      </c>
      <c r="B691" s="5" t="s">
        <v>514</v>
      </c>
      <c r="C691" s="5" t="s">
        <v>2644</v>
      </c>
      <c r="D691" s="5" t="s">
        <v>2645</v>
      </c>
      <c r="E691" s="5" t="s">
        <v>1855</v>
      </c>
      <c r="F691" s="5" t="s">
        <v>2544</v>
      </c>
      <c r="G691" t="str">
        <f t="shared" si="10"/>
        <v>55004 : Indstrl refrigeration&gt;$5K</v>
      </c>
    </row>
    <row r="692" spans="1:7">
      <c r="A692" s="5" t="s">
        <v>1842</v>
      </c>
      <c r="B692" s="5" t="s">
        <v>514</v>
      </c>
      <c r="C692" s="5" t="s">
        <v>2646</v>
      </c>
      <c r="D692" s="5" t="s">
        <v>2647</v>
      </c>
      <c r="E692" s="5" t="s">
        <v>1855</v>
      </c>
      <c r="F692" s="5" t="s">
        <v>2544</v>
      </c>
      <c r="G692" t="str">
        <f t="shared" si="10"/>
        <v>55004 : Power generation&gt;$5K</v>
      </c>
    </row>
    <row r="693" spans="1:7">
      <c r="A693" s="5" t="s">
        <v>1842</v>
      </c>
      <c r="B693" s="5" t="s">
        <v>514</v>
      </c>
      <c r="C693" s="5" t="s">
        <v>2648</v>
      </c>
      <c r="D693" s="5" t="s">
        <v>2649</v>
      </c>
      <c r="E693" s="5" t="s">
        <v>1855</v>
      </c>
      <c r="F693" s="5" t="s">
        <v>2544</v>
      </c>
      <c r="G693" t="str">
        <f t="shared" si="10"/>
        <v>55004 : Power generation -Haz&gt;$5K</v>
      </c>
    </row>
    <row r="694" spans="1:7">
      <c r="A694" s="5" t="s">
        <v>1842</v>
      </c>
      <c r="B694" s="5" t="s">
        <v>514</v>
      </c>
      <c r="C694" s="5" t="s">
        <v>2650</v>
      </c>
      <c r="D694" s="5" t="s">
        <v>2651</v>
      </c>
      <c r="E694" s="5" t="s">
        <v>1855</v>
      </c>
      <c r="F694" s="5" t="s">
        <v>2544</v>
      </c>
      <c r="G694" t="str">
        <f t="shared" si="10"/>
        <v>55004 : Power generation -Grn&gt;$5K</v>
      </c>
    </row>
    <row r="695" spans="1:7">
      <c r="A695" s="5" t="s">
        <v>1842</v>
      </c>
      <c r="B695" s="5" t="s">
        <v>514</v>
      </c>
      <c r="C695" s="5" t="s">
        <v>2652</v>
      </c>
      <c r="D695" s="5" t="s">
        <v>2653</v>
      </c>
      <c r="E695" s="5" t="s">
        <v>1855</v>
      </c>
      <c r="F695" s="5" t="s">
        <v>2544</v>
      </c>
      <c r="G695" t="str">
        <f t="shared" si="10"/>
        <v>55004 : Atom Nuclear equip -Haz&gt;$5K</v>
      </c>
    </row>
    <row r="696" spans="1:7">
      <c r="A696" s="5" t="s">
        <v>1842</v>
      </c>
      <c r="B696" s="5" t="s">
        <v>514</v>
      </c>
      <c r="C696" s="5" t="s">
        <v>2654</v>
      </c>
      <c r="D696" s="5" t="s">
        <v>2655</v>
      </c>
      <c r="E696" s="5" t="s">
        <v>1855</v>
      </c>
      <c r="F696" s="5" t="s">
        <v>2544</v>
      </c>
      <c r="G696" t="str">
        <f t="shared" si="10"/>
        <v>55004 : Auto Spec Tools &gt;$5K</v>
      </c>
    </row>
    <row r="697" spans="1:7">
      <c r="A697" s="5" t="s">
        <v>1842</v>
      </c>
      <c r="B697" s="5" t="s">
        <v>514</v>
      </c>
      <c r="C697" s="5" t="s">
        <v>2656</v>
      </c>
      <c r="D697" s="5" t="s">
        <v>2657</v>
      </c>
      <c r="E697" s="5" t="s">
        <v>1855</v>
      </c>
      <c r="F697" s="5" t="s">
        <v>2544</v>
      </c>
      <c r="G697" t="str">
        <f t="shared" si="10"/>
        <v>55004 : Lab &amp; scien equip &gt;$5K</v>
      </c>
    </row>
    <row r="698" spans="1:7">
      <c r="A698" s="5" t="s">
        <v>1842</v>
      </c>
      <c r="B698" s="5" t="s">
        <v>514</v>
      </c>
      <c r="C698" s="5" t="s">
        <v>2658</v>
      </c>
      <c r="D698" s="5" t="s">
        <v>2659</v>
      </c>
      <c r="E698" s="5" t="s">
        <v>1857</v>
      </c>
      <c r="F698" s="5" t="s">
        <v>2660</v>
      </c>
      <c r="G698" t="str">
        <f t="shared" si="10"/>
        <v>55006 : Computer equipment &gt;$1K asset</v>
      </c>
    </row>
    <row r="699" spans="1:7">
      <c r="A699" s="5" t="s">
        <v>1842</v>
      </c>
      <c r="B699" s="5" t="s">
        <v>514</v>
      </c>
      <c r="C699" s="5" t="s">
        <v>2661</v>
      </c>
      <c r="D699" s="5" t="s">
        <v>2662</v>
      </c>
      <c r="E699" s="5" t="s">
        <v>1857</v>
      </c>
      <c r="F699" s="5" t="s">
        <v>2660</v>
      </c>
      <c r="G699" t="str">
        <f t="shared" si="10"/>
        <v>55006 : Computer printers &gt;$1k asset</v>
      </c>
    </row>
    <row r="700" spans="1:7">
      <c r="A700" s="5" t="s">
        <v>1842</v>
      </c>
      <c r="B700" s="5" t="s">
        <v>514</v>
      </c>
      <c r="C700" s="5" t="s">
        <v>2663</v>
      </c>
      <c r="D700" s="5" t="s">
        <v>2664</v>
      </c>
      <c r="E700" s="5" t="s">
        <v>1857</v>
      </c>
      <c r="F700" s="5" t="s">
        <v>2660</v>
      </c>
      <c r="G700" t="str">
        <f t="shared" si="10"/>
        <v>55006 : Multi func printers &gt;$1k asset</v>
      </c>
    </row>
    <row r="701" spans="1:7">
      <c r="A701" s="5" t="s">
        <v>1842</v>
      </c>
      <c r="B701" s="5" t="s">
        <v>514</v>
      </c>
      <c r="C701" s="5" t="s">
        <v>2665</v>
      </c>
      <c r="D701" s="5" t="s">
        <v>2666</v>
      </c>
      <c r="E701" s="5" t="s">
        <v>1855</v>
      </c>
      <c r="F701" s="5" t="s">
        <v>2544</v>
      </c>
      <c r="G701" t="str">
        <f t="shared" si="10"/>
        <v>55004 : Network Comm accssrs&gt;$5K</v>
      </c>
    </row>
    <row r="702" spans="1:7">
      <c r="A702" s="5" t="s">
        <v>1842</v>
      </c>
      <c r="B702" s="5" t="s">
        <v>514</v>
      </c>
      <c r="C702" s="5" t="s">
        <v>2667</v>
      </c>
      <c r="D702" s="5" t="s">
        <v>2668</v>
      </c>
      <c r="E702" s="5" t="s">
        <v>1855</v>
      </c>
      <c r="F702" s="5" t="s">
        <v>2544</v>
      </c>
      <c r="G702" t="str">
        <f t="shared" si="10"/>
        <v>55004 : Office machines &gt;$5K</v>
      </c>
    </row>
    <row r="703" spans="1:7">
      <c r="A703" s="5" t="s">
        <v>1842</v>
      </c>
      <c r="B703" s="5" t="s">
        <v>514</v>
      </c>
      <c r="C703" s="5" t="s">
        <v>2669</v>
      </c>
      <c r="D703" s="5" t="s">
        <v>2670</v>
      </c>
      <c r="E703" s="5" t="s">
        <v>1855</v>
      </c>
      <c r="F703" s="5" t="s">
        <v>2544</v>
      </c>
      <c r="G703" t="str">
        <f t="shared" si="10"/>
        <v>55004 : Office machines Grn&gt;$5K</v>
      </c>
    </row>
    <row r="704" spans="1:7">
      <c r="A704" s="5" t="s">
        <v>1842</v>
      </c>
      <c r="B704" s="5" t="s">
        <v>514</v>
      </c>
      <c r="C704" s="5" t="s">
        <v>2671</v>
      </c>
      <c r="D704" s="5" t="s">
        <v>2672</v>
      </c>
      <c r="E704" s="5" t="s">
        <v>1855</v>
      </c>
      <c r="F704" s="5" t="s">
        <v>2544</v>
      </c>
      <c r="G704" t="str">
        <f t="shared" si="10"/>
        <v>55004 : Audio visual equip &gt;$5K</v>
      </c>
    </row>
    <row r="705" spans="1:7">
      <c r="A705" s="5" t="s">
        <v>1842</v>
      </c>
      <c r="B705" s="5" t="s">
        <v>514</v>
      </c>
      <c r="C705" s="5" t="s">
        <v>2673</v>
      </c>
      <c r="D705" s="5" t="s">
        <v>2674</v>
      </c>
      <c r="E705" s="5" t="s">
        <v>1855</v>
      </c>
      <c r="F705" s="5" t="s">
        <v>2544</v>
      </c>
      <c r="G705" t="str">
        <f t="shared" si="10"/>
        <v>55004 : Fire protection &gt;$5K</v>
      </c>
    </row>
    <row r="706" spans="1:7">
      <c r="A706" s="5" t="s">
        <v>1842</v>
      </c>
      <c r="B706" s="5" t="s">
        <v>514</v>
      </c>
      <c r="C706" s="5" t="s">
        <v>2675</v>
      </c>
      <c r="D706" s="5" t="s">
        <v>2676</v>
      </c>
      <c r="E706" s="5" t="s">
        <v>1855</v>
      </c>
      <c r="F706" s="5" t="s">
        <v>2544</v>
      </c>
      <c r="G706" t="str">
        <f t="shared" si="10"/>
        <v>55004 : Fire protection -Haz&gt;$5K</v>
      </c>
    </row>
    <row r="707" spans="1:7">
      <c r="A707" s="5" t="s">
        <v>1842</v>
      </c>
      <c r="B707" s="5" t="s">
        <v>514</v>
      </c>
      <c r="C707" s="5" t="s">
        <v>620</v>
      </c>
      <c r="D707" s="5" t="s">
        <v>2677</v>
      </c>
      <c r="E707" s="5" t="s">
        <v>1855</v>
      </c>
      <c r="F707" s="5" t="s">
        <v>2544</v>
      </c>
      <c r="G707" t="str">
        <f t="shared" si="10"/>
        <v>55004 : Domestic Appliances &lt;$5K</v>
      </c>
    </row>
    <row r="708" spans="1:7">
      <c r="A708" s="5" t="s">
        <v>1842</v>
      </c>
      <c r="B708" s="5" t="s">
        <v>514</v>
      </c>
      <c r="C708" s="5" t="s">
        <v>2678</v>
      </c>
      <c r="D708" s="5" t="s">
        <v>2679</v>
      </c>
      <c r="E708" s="5" t="s">
        <v>1855</v>
      </c>
      <c r="F708" s="5" t="s">
        <v>2544</v>
      </c>
      <c r="G708" t="str">
        <f t="shared" ref="G708:G757" si="11">CONCATENATE(E708, " : ", D708)</f>
        <v>55004 : Appliances &gt;$5K</v>
      </c>
    </row>
    <row r="709" spans="1:7">
      <c r="A709" s="5" t="s">
        <v>1842</v>
      </c>
      <c r="B709" s="5" t="s">
        <v>514</v>
      </c>
      <c r="C709" s="5" t="s">
        <v>2680</v>
      </c>
      <c r="D709" s="5" t="s">
        <v>2681</v>
      </c>
      <c r="E709" s="5" t="s">
        <v>1855</v>
      </c>
      <c r="F709" s="5" t="s">
        <v>2544</v>
      </c>
      <c r="G709" t="str">
        <f t="shared" si="11"/>
        <v>55004 : Consumer electronics &gt;$5K</v>
      </c>
    </row>
    <row r="710" spans="1:7">
      <c r="A710" s="5" t="s">
        <v>1842</v>
      </c>
      <c r="B710" s="5" t="s">
        <v>514</v>
      </c>
      <c r="C710" s="5" t="s">
        <v>2682</v>
      </c>
      <c r="D710" s="5" t="s">
        <v>2683</v>
      </c>
      <c r="E710" s="5" t="s">
        <v>2684</v>
      </c>
      <c r="F710" s="5" t="s">
        <v>2685</v>
      </c>
      <c r="G710" t="str">
        <f t="shared" si="11"/>
        <v>55005 : Furniture and Fixtures &gt;$5K</v>
      </c>
    </row>
    <row r="711" spans="1:7">
      <c r="A711" s="5" t="s">
        <v>1842</v>
      </c>
      <c r="B711" s="5" t="s">
        <v>514</v>
      </c>
      <c r="C711" s="5" t="s">
        <v>2686</v>
      </c>
      <c r="D711" s="5" t="s">
        <v>2687</v>
      </c>
      <c r="E711" s="5" t="s">
        <v>2684</v>
      </c>
      <c r="F711" s="5" t="s">
        <v>2685</v>
      </c>
      <c r="G711" t="str">
        <f t="shared" si="11"/>
        <v>55005 : Furniture and Fixtur-Grn &gt;$5K</v>
      </c>
    </row>
    <row r="712" spans="1:7">
      <c r="A712" s="5" t="s">
        <v>1842</v>
      </c>
      <c r="B712" s="5" t="s">
        <v>514</v>
      </c>
      <c r="C712" s="5" t="s">
        <v>2688</v>
      </c>
      <c r="D712" s="5" t="s">
        <v>2689</v>
      </c>
      <c r="E712" s="5" t="s">
        <v>1855</v>
      </c>
      <c r="F712" s="5" t="s">
        <v>2544</v>
      </c>
      <c r="G712" t="str">
        <f t="shared" si="11"/>
        <v>55004 : Music Instrument &amp; parts &gt;$5K</v>
      </c>
    </row>
    <row r="713" spans="1:7">
      <c r="A713" s="5" t="s">
        <v>1842</v>
      </c>
      <c r="B713" s="5" t="s">
        <v>514</v>
      </c>
      <c r="C713" s="5" t="s">
        <v>550</v>
      </c>
      <c r="D713" s="5" t="s">
        <v>550</v>
      </c>
      <c r="E713" s="5" t="s">
        <v>2690</v>
      </c>
      <c r="F713" s="5" t="s">
        <v>2691</v>
      </c>
      <c r="G713" t="str">
        <f t="shared" si="11"/>
        <v>55011 : 2500000000</v>
      </c>
    </row>
    <row r="714" spans="1:7">
      <c r="A714" s="5" t="s">
        <v>1842</v>
      </c>
      <c r="B714" s="5" t="s">
        <v>514</v>
      </c>
      <c r="C714" s="5" t="s">
        <v>2692</v>
      </c>
      <c r="D714" s="5" t="s">
        <v>2693</v>
      </c>
      <c r="E714" s="5" t="s">
        <v>2690</v>
      </c>
      <c r="F714" s="5" t="s">
        <v>2691</v>
      </c>
      <c r="G714" t="str">
        <f t="shared" si="11"/>
        <v>55011 : Motor vehicles &gt;$5K</v>
      </c>
    </row>
    <row r="715" spans="1:7">
      <c r="A715" s="5" t="s">
        <v>1842</v>
      </c>
      <c r="B715" s="5" t="s">
        <v>514</v>
      </c>
      <c r="C715" s="5" t="s">
        <v>2694</v>
      </c>
      <c r="D715" s="5" t="s">
        <v>2695</v>
      </c>
      <c r="E715" s="5" t="s">
        <v>2690</v>
      </c>
      <c r="F715" s="5" t="s">
        <v>2691</v>
      </c>
      <c r="G715" t="str">
        <f t="shared" si="11"/>
        <v>55011 : Motor vehicles -Grn &gt;$5K</v>
      </c>
    </row>
    <row r="716" spans="1:7">
      <c r="A716" s="5" t="s">
        <v>1842</v>
      </c>
      <c r="B716" s="5" t="s">
        <v>514</v>
      </c>
      <c r="C716" s="5" t="s">
        <v>2696</v>
      </c>
      <c r="D716" s="5" t="s">
        <v>2697</v>
      </c>
      <c r="E716" s="5" t="s">
        <v>2690</v>
      </c>
      <c r="F716" s="5" t="s">
        <v>2691</v>
      </c>
      <c r="G716" t="str">
        <f t="shared" si="11"/>
        <v>55011 : Marine transport &gt;$5K</v>
      </c>
    </row>
    <row r="717" spans="1:7">
      <c r="A717" s="5" t="s">
        <v>1842</v>
      </c>
      <c r="B717" s="5" t="s">
        <v>514</v>
      </c>
      <c r="C717" s="5" t="s">
        <v>553</v>
      </c>
      <c r="D717" s="5" t="s">
        <v>2698</v>
      </c>
      <c r="E717" s="5" t="s">
        <v>2690</v>
      </c>
      <c r="F717" s="5" t="s">
        <v>2691</v>
      </c>
      <c r="G717" t="str">
        <f t="shared" si="11"/>
        <v>55011 : Railway &amp; tramway equip</v>
      </c>
    </row>
    <row r="718" spans="1:7">
      <c r="A718" s="5" t="s">
        <v>1842</v>
      </c>
      <c r="B718" s="5" t="s">
        <v>514</v>
      </c>
      <c r="C718" s="5" t="s">
        <v>554</v>
      </c>
      <c r="D718" s="5" t="s">
        <v>2699</v>
      </c>
      <c r="E718" s="5" t="s">
        <v>2690</v>
      </c>
      <c r="F718" s="5" t="s">
        <v>2691</v>
      </c>
      <c r="G718" t="str">
        <f t="shared" si="11"/>
        <v>55011 : Aircraft</v>
      </c>
    </row>
    <row r="719" spans="1:7">
      <c r="A719" s="5" t="s">
        <v>1842</v>
      </c>
      <c r="B719" s="5" t="s">
        <v>514</v>
      </c>
      <c r="C719" s="5" t="s">
        <v>555</v>
      </c>
      <c r="D719" s="5" t="s">
        <v>2700</v>
      </c>
      <c r="E719" s="5" t="s">
        <v>2690</v>
      </c>
      <c r="F719" s="5" t="s">
        <v>2691</v>
      </c>
      <c r="G719" t="str">
        <f t="shared" si="11"/>
        <v>55011 : Aircraft - Haz</v>
      </c>
    </row>
    <row r="720" spans="1:7">
      <c r="A720" s="5" t="s">
        <v>1842</v>
      </c>
      <c r="B720" s="5" t="s">
        <v>514</v>
      </c>
      <c r="C720" s="5" t="s">
        <v>556</v>
      </c>
      <c r="D720" s="5" t="s">
        <v>2701</v>
      </c>
      <c r="E720" s="5" t="s">
        <v>2690</v>
      </c>
      <c r="F720" s="5" t="s">
        <v>2691</v>
      </c>
      <c r="G720" t="str">
        <f t="shared" si="11"/>
        <v>55011 : Spacecraft</v>
      </c>
    </row>
    <row r="721" spans="1:7">
      <c r="A721" s="5" t="s">
        <v>1842</v>
      </c>
      <c r="B721" s="5" t="s">
        <v>514</v>
      </c>
      <c r="C721" s="5" t="s">
        <v>600</v>
      </c>
      <c r="D721" s="5" t="s">
        <v>2702</v>
      </c>
      <c r="E721" s="5" t="s">
        <v>2690</v>
      </c>
      <c r="F721" s="5" t="s">
        <v>2691</v>
      </c>
      <c r="G721" t="str">
        <f t="shared" si="11"/>
        <v>55011 : Spacecraft - Haz</v>
      </c>
    </row>
    <row r="722" spans="1:7">
      <c r="A722" s="5" t="s">
        <v>1842</v>
      </c>
      <c r="B722" s="5" t="s">
        <v>514</v>
      </c>
      <c r="C722" s="5" t="s">
        <v>2703</v>
      </c>
      <c r="D722" s="5" t="s">
        <v>2704</v>
      </c>
      <c r="E722" s="5" t="s">
        <v>2705</v>
      </c>
      <c r="F722" s="5" t="s">
        <v>2706</v>
      </c>
      <c r="G722" t="str">
        <f t="shared" si="11"/>
        <v>55013 : Medical Lab Equip &gt;$5K</v>
      </c>
    </row>
    <row r="723" spans="1:7">
      <c r="A723" s="5" t="s">
        <v>1842</v>
      </c>
      <c r="B723" s="5" t="s">
        <v>514</v>
      </c>
      <c r="C723" s="5" t="s">
        <v>2707</v>
      </c>
      <c r="D723" s="5" t="s">
        <v>2708</v>
      </c>
      <c r="E723" s="5" t="s">
        <v>2709</v>
      </c>
      <c r="F723" s="5" t="s">
        <v>2710</v>
      </c>
      <c r="G723" t="str">
        <f t="shared" si="11"/>
        <v>55014 : Communications Devices &gt;$5K</v>
      </c>
    </row>
    <row r="724" spans="1:7">
      <c r="A724" s="5" t="s">
        <v>1842</v>
      </c>
      <c r="B724" s="5" t="s">
        <v>514</v>
      </c>
      <c r="C724" s="5" t="s">
        <v>2711</v>
      </c>
      <c r="D724" s="5" t="s">
        <v>2712</v>
      </c>
      <c r="E724" s="5" t="s">
        <v>2713</v>
      </c>
      <c r="F724" s="5" t="s">
        <v>2714</v>
      </c>
      <c r="G724" t="str">
        <f t="shared" si="11"/>
        <v>55012 : Public safety &amp; ctrl &gt;$5K</v>
      </c>
    </row>
    <row r="725" spans="1:7">
      <c r="A725" s="5" t="s">
        <v>1842</v>
      </c>
      <c r="B725" s="5" t="s">
        <v>514</v>
      </c>
      <c r="C725" s="5" t="s">
        <v>2715</v>
      </c>
      <c r="D725" s="5" t="s">
        <v>2716</v>
      </c>
      <c r="E725" s="5" t="s">
        <v>2713</v>
      </c>
      <c r="F725" s="5" t="s">
        <v>2714</v>
      </c>
      <c r="G725" t="str">
        <f t="shared" si="11"/>
        <v>55012 : Public safe &amp; ctrl -Haz &gt;$5K</v>
      </c>
    </row>
    <row r="726" spans="1:7">
      <c r="A726" s="5" t="s">
        <v>1842</v>
      </c>
      <c r="B726" s="5" t="s">
        <v>514</v>
      </c>
      <c r="C726" s="5" t="s">
        <v>2717</v>
      </c>
      <c r="D726" s="5" t="s">
        <v>2718</v>
      </c>
      <c r="E726" s="5" t="s">
        <v>2713</v>
      </c>
      <c r="F726" s="5" t="s">
        <v>2714</v>
      </c>
      <c r="G726" t="str">
        <f t="shared" si="11"/>
        <v>55012 : Security equip&gt;$5K</v>
      </c>
    </row>
    <row r="727" spans="1:7">
      <c r="A727" s="5" t="s">
        <v>1842</v>
      </c>
      <c r="B727" s="5" t="s">
        <v>514</v>
      </c>
      <c r="C727" s="5" t="s">
        <v>2719</v>
      </c>
      <c r="D727" s="5" t="s">
        <v>2720</v>
      </c>
      <c r="E727" s="5" t="s">
        <v>2713</v>
      </c>
      <c r="F727" s="5" t="s">
        <v>2714</v>
      </c>
      <c r="G727" t="str">
        <f t="shared" si="11"/>
        <v>55012 : Security equip -Haz&gt;$5K</v>
      </c>
    </row>
    <row r="728" spans="1:7">
      <c r="A728" s="5" t="s">
        <v>1842</v>
      </c>
      <c r="B728" s="5" t="s">
        <v>514</v>
      </c>
      <c r="C728" s="5" t="s">
        <v>2721</v>
      </c>
      <c r="D728" s="5" t="s">
        <v>2722</v>
      </c>
      <c r="E728" s="5" t="s">
        <v>2713</v>
      </c>
      <c r="F728" s="5" t="s">
        <v>2714</v>
      </c>
      <c r="G728" t="str">
        <f t="shared" si="11"/>
        <v>55012 : Personal protection &gt;$5K</v>
      </c>
    </row>
    <row r="729" spans="1:7">
      <c r="A729" s="5" t="s">
        <v>1842</v>
      </c>
      <c r="B729" s="5" t="s">
        <v>514</v>
      </c>
      <c r="C729" s="5" t="s">
        <v>2723</v>
      </c>
      <c r="D729" s="5" t="s">
        <v>2724</v>
      </c>
      <c r="E729" s="5" t="s">
        <v>2713</v>
      </c>
      <c r="F729" s="5" t="s">
        <v>2714</v>
      </c>
      <c r="G729" t="str">
        <f t="shared" si="11"/>
        <v>55012 : Personal protection -Haz&gt;$5K</v>
      </c>
    </row>
    <row r="730" spans="1:7">
      <c r="A730" s="5" t="s">
        <v>1842</v>
      </c>
      <c r="B730" s="5" t="s">
        <v>514</v>
      </c>
      <c r="C730" s="5" t="s">
        <v>638</v>
      </c>
      <c r="D730" s="5" t="s">
        <v>2725</v>
      </c>
      <c r="E730" s="5" t="s">
        <v>2705</v>
      </c>
      <c r="F730" s="5" t="s">
        <v>2706</v>
      </c>
      <c r="G730" t="str">
        <f t="shared" si="11"/>
        <v>55013 : Surgical equip Repair svcs</v>
      </c>
    </row>
    <row r="731" spans="1:7">
      <c r="A731" s="5" t="s">
        <v>2726</v>
      </c>
      <c r="B731" s="5" t="s">
        <v>2727</v>
      </c>
      <c r="C731" s="5" t="s">
        <v>2729</v>
      </c>
      <c r="D731" s="5" t="s">
        <v>2729</v>
      </c>
      <c r="E731" s="5" t="s">
        <v>2728</v>
      </c>
      <c r="F731" s="5" t="s">
        <v>2730</v>
      </c>
      <c r="G731" t="str">
        <f t="shared" si="11"/>
        <v>50451 : 0</v>
      </c>
    </row>
    <row r="732" spans="1:7">
      <c r="A732" s="5" t="s">
        <v>2726</v>
      </c>
      <c r="B732" s="5" t="s">
        <v>2727</v>
      </c>
      <c r="C732" s="5" t="s">
        <v>2731</v>
      </c>
      <c r="D732" s="5" t="s">
        <v>2732</v>
      </c>
      <c r="E732" s="5" t="s">
        <v>2728</v>
      </c>
      <c r="F732" s="5" t="s">
        <v>2730</v>
      </c>
      <c r="G732" t="str">
        <f t="shared" si="11"/>
        <v>50451 : CITY BU Health Insurance</v>
      </c>
    </row>
    <row r="733" spans="1:7">
      <c r="A733" s="5" t="s">
        <v>2726</v>
      </c>
      <c r="B733" s="5" t="s">
        <v>2727</v>
      </c>
      <c r="C733" s="5" t="s">
        <v>2733</v>
      </c>
      <c r="D733" s="5" t="s">
        <v>2734</v>
      </c>
      <c r="E733" s="5" t="s">
        <v>2728</v>
      </c>
      <c r="F733" s="5" t="s">
        <v>2730</v>
      </c>
      <c r="G733" t="str">
        <f t="shared" si="11"/>
        <v>50451 : State BU Health Insurance</v>
      </c>
    </row>
    <row r="734" spans="1:7">
      <c r="A734" s="5" t="s">
        <v>2726</v>
      </c>
      <c r="B734" s="5" t="s">
        <v>2727</v>
      </c>
      <c r="C734" s="5" t="s">
        <v>1881</v>
      </c>
      <c r="D734" s="5" t="s">
        <v>1881</v>
      </c>
      <c r="E734" s="5" t="s">
        <v>2728</v>
      </c>
      <c r="F734" s="5" t="s">
        <v>2730</v>
      </c>
      <c r="G734" t="str">
        <f t="shared" si="11"/>
        <v>50451 : 100</v>
      </c>
    </row>
    <row r="735" spans="1:7">
      <c r="A735" s="5" t="s">
        <v>2726</v>
      </c>
      <c r="B735" s="5" t="s">
        <v>2727</v>
      </c>
      <c r="C735" s="5" t="s">
        <v>2737</v>
      </c>
      <c r="D735" s="5" t="s">
        <v>2738</v>
      </c>
      <c r="E735" s="5" t="s">
        <v>2735</v>
      </c>
      <c r="F735" s="5" t="s">
        <v>2739</v>
      </c>
      <c r="G735" t="str">
        <f t="shared" si="11"/>
        <v>50453 : CITY BU Employee Welfare</v>
      </c>
    </row>
    <row r="736" spans="1:7">
      <c r="A736" s="5" t="s">
        <v>2726</v>
      </c>
      <c r="B736" s="5" t="s">
        <v>2727</v>
      </c>
      <c r="C736" s="5" t="s">
        <v>2740</v>
      </c>
      <c r="D736" s="5" t="s">
        <v>2741</v>
      </c>
      <c r="E736" s="5" t="s">
        <v>2736</v>
      </c>
      <c r="F736" s="5" t="s">
        <v>2739</v>
      </c>
      <c r="G736" t="str">
        <f t="shared" si="11"/>
        <v>50454 : CITY BU Faculty Welfare</v>
      </c>
    </row>
    <row r="737" spans="1:7">
      <c r="A737" s="5" t="s">
        <v>2726</v>
      </c>
      <c r="B737" s="5" t="s">
        <v>2727</v>
      </c>
      <c r="C737" s="5" t="s">
        <v>2742</v>
      </c>
      <c r="D737" s="5" t="s">
        <v>2743</v>
      </c>
      <c r="E737" s="5" t="s">
        <v>2735</v>
      </c>
      <c r="F737" s="5" t="s">
        <v>2739</v>
      </c>
      <c r="G737" t="str">
        <f t="shared" si="11"/>
        <v>50453 : State BU Employee Welfare</v>
      </c>
    </row>
    <row r="738" spans="1:7">
      <c r="A738" s="5" t="s">
        <v>2726</v>
      </c>
      <c r="B738" s="5" t="s">
        <v>2727</v>
      </c>
      <c r="C738" s="5" t="s">
        <v>2744</v>
      </c>
      <c r="D738" s="5" t="s">
        <v>2745</v>
      </c>
      <c r="E738" s="5" t="s">
        <v>2736</v>
      </c>
      <c r="F738" s="5" t="s">
        <v>2739</v>
      </c>
      <c r="G738" t="str">
        <f t="shared" si="11"/>
        <v>50454 : State BU Faculty Welfare</v>
      </c>
    </row>
    <row r="739" spans="1:7">
      <c r="A739" s="5" t="s">
        <v>2726</v>
      </c>
      <c r="B739" s="5" t="s">
        <v>2727</v>
      </c>
      <c r="C739" s="5" t="s">
        <v>2746</v>
      </c>
      <c r="D739" s="5" t="s">
        <v>2746</v>
      </c>
      <c r="E739" s="5" t="s">
        <v>2735</v>
      </c>
      <c r="F739" s="5" t="s">
        <v>2739</v>
      </c>
      <c r="G739" t="str">
        <f t="shared" si="11"/>
        <v>50453 : 200</v>
      </c>
    </row>
    <row r="740" spans="1:7">
      <c r="A740" s="5" t="s">
        <v>2726</v>
      </c>
      <c r="B740" s="5" t="s">
        <v>2727</v>
      </c>
      <c r="C740" s="5" t="s">
        <v>2747</v>
      </c>
      <c r="D740" s="5" t="s">
        <v>2747</v>
      </c>
      <c r="E740" s="5" t="s">
        <v>2736</v>
      </c>
      <c r="F740" s="5" t="s">
        <v>2739</v>
      </c>
      <c r="G740" t="str">
        <f t="shared" si="11"/>
        <v>50454 : 300</v>
      </c>
    </row>
    <row r="741" spans="1:7">
      <c r="A741" s="5" t="s">
        <v>2726</v>
      </c>
      <c r="B741" s="5" t="s">
        <v>2727</v>
      </c>
      <c r="C741" s="5" t="s">
        <v>2749</v>
      </c>
      <c r="D741" s="5" t="s">
        <v>2750</v>
      </c>
      <c r="E741" s="5" t="s">
        <v>2748</v>
      </c>
      <c r="F741" s="5" t="s">
        <v>2751</v>
      </c>
      <c r="G741" t="str">
        <f t="shared" si="11"/>
        <v>50553 : CITY BU Workers Compensation</v>
      </c>
    </row>
    <row r="742" spans="1:7">
      <c r="A742" s="5" t="s">
        <v>2726</v>
      </c>
      <c r="B742" s="5" t="s">
        <v>2727</v>
      </c>
      <c r="C742" s="5" t="s">
        <v>2752</v>
      </c>
      <c r="D742" s="5" t="s">
        <v>2753</v>
      </c>
      <c r="E742" s="5" t="s">
        <v>2748</v>
      </c>
      <c r="F742" s="5" t="s">
        <v>2751</v>
      </c>
      <c r="G742" t="str">
        <f t="shared" si="11"/>
        <v>50553 : State BU Workers Compensation</v>
      </c>
    </row>
    <row r="743" spans="1:7">
      <c r="A743" s="5" t="s">
        <v>2726</v>
      </c>
      <c r="B743" s="5" t="s">
        <v>2727</v>
      </c>
      <c r="C743" s="5" t="s">
        <v>2754</v>
      </c>
      <c r="D743" s="5" t="s">
        <v>2754</v>
      </c>
      <c r="E743" s="5" t="s">
        <v>2748</v>
      </c>
      <c r="F743" s="5" t="s">
        <v>2751</v>
      </c>
      <c r="G743" t="str">
        <f t="shared" si="11"/>
        <v>50553 : 700</v>
      </c>
    </row>
    <row r="744" spans="1:7">
      <c r="A744" s="5" t="s">
        <v>2726</v>
      </c>
      <c r="B744" s="5" t="s">
        <v>2727</v>
      </c>
      <c r="C744" s="5" t="s">
        <v>2757</v>
      </c>
      <c r="D744" s="5" t="s">
        <v>2758</v>
      </c>
      <c r="E744" s="5" t="s">
        <v>2755</v>
      </c>
      <c r="F744" s="5" t="s">
        <v>2759</v>
      </c>
      <c r="G744" t="str">
        <f t="shared" si="11"/>
        <v>50601 : CITY BU TRS</v>
      </c>
    </row>
    <row r="745" spans="1:7">
      <c r="A745" s="5" t="s">
        <v>2726</v>
      </c>
      <c r="B745" s="5" t="s">
        <v>2727</v>
      </c>
      <c r="C745" s="5" t="s">
        <v>2760</v>
      </c>
      <c r="D745" s="5" t="s">
        <v>2761</v>
      </c>
      <c r="E745" s="5" t="s">
        <v>2762</v>
      </c>
      <c r="F745" s="5" t="s">
        <v>2759</v>
      </c>
      <c r="G745" t="str">
        <f t="shared" si="11"/>
        <v>50602 : CITY BU ERS</v>
      </c>
    </row>
    <row r="746" spans="1:7">
      <c r="A746" s="5" t="s">
        <v>2726</v>
      </c>
      <c r="B746" s="5" t="s">
        <v>2727</v>
      </c>
      <c r="C746" s="5" t="s">
        <v>2763</v>
      </c>
      <c r="D746" s="5" t="s">
        <v>2764</v>
      </c>
      <c r="E746" s="5" t="s">
        <v>2756</v>
      </c>
      <c r="F746" s="5" t="s">
        <v>2759</v>
      </c>
      <c r="G746" t="str">
        <f t="shared" si="11"/>
        <v>50603 : CITY BU TIAA CREF</v>
      </c>
    </row>
    <row r="747" spans="1:7">
      <c r="A747" s="5" t="s">
        <v>2726</v>
      </c>
      <c r="B747" s="5" t="s">
        <v>2727</v>
      </c>
      <c r="C747" s="5" t="s">
        <v>2765</v>
      </c>
      <c r="D747" s="5" t="s">
        <v>2766</v>
      </c>
      <c r="E747" s="5" t="s">
        <v>2755</v>
      </c>
      <c r="F747" s="5" t="s">
        <v>2759</v>
      </c>
      <c r="G747" t="str">
        <f t="shared" si="11"/>
        <v>50601 : State BU TRS</v>
      </c>
    </row>
    <row r="748" spans="1:7">
      <c r="A748" s="5" t="s">
        <v>2726</v>
      </c>
      <c r="B748" s="5" t="s">
        <v>2727</v>
      </c>
      <c r="C748" s="5" t="s">
        <v>2767</v>
      </c>
      <c r="D748" s="5" t="s">
        <v>2768</v>
      </c>
      <c r="E748" s="5" t="s">
        <v>2762</v>
      </c>
      <c r="F748" s="5" t="s">
        <v>2759</v>
      </c>
      <c r="G748" t="str">
        <f t="shared" si="11"/>
        <v>50602 : State BU ERS</v>
      </c>
    </row>
    <row r="749" spans="1:7">
      <c r="A749" s="5" t="s">
        <v>2726</v>
      </c>
      <c r="B749" s="5" t="s">
        <v>2727</v>
      </c>
      <c r="C749" s="5" t="s">
        <v>2769</v>
      </c>
      <c r="D749" s="5" t="s">
        <v>2769</v>
      </c>
      <c r="E749" s="5" t="s">
        <v>2755</v>
      </c>
      <c r="F749" s="5" t="s">
        <v>2759</v>
      </c>
      <c r="G749" t="str">
        <f t="shared" si="11"/>
        <v>50601 : 400</v>
      </c>
    </row>
    <row r="750" spans="1:7">
      <c r="A750" s="5" t="s">
        <v>2726</v>
      </c>
      <c r="B750" s="5" t="s">
        <v>2727</v>
      </c>
      <c r="C750" s="5" t="s">
        <v>2770</v>
      </c>
      <c r="D750" s="5" t="s">
        <v>2770</v>
      </c>
      <c r="E750" s="5" t="s">
        <v>2762</v>
      </c>
      <c r="F750" s="5" t="s">
        <v>2759</v>
      </c>
      <c r="G750" t="str">
        <f t="shared" si="11"/>
        <v>50602 : 500</v>
      </c>
    </row>
    <row r="751" spans="1:7">
      <c r="A751" s="5" t="s">
        <v>2726</v>
      </c>
      <c r="B751" s="5" t="s">
        <v>2727</v>
      </c>
      <c r="C751" s="5" t="s">
        <v>2771</v>
      </c>
      <c r="D751" s="5" t="s">
        <v>2771</v>
      </c>
      <c r="E751" s="5" t="s">
        <v>2756</v>
      </c>
      <c r="F751" s="5" t="s">
        <v>2759</v>
      </c>
      <c r="G751" t="str">
        <f t="shared" si="11"/>
        <v>50603 : 600</v>
      </c>
    </row>
    <row r="752" spans="1:7">
      <c r="A752" s="5" t="s">
        <v>2726</v>
      </c>
      <c r="B752" s="5" t="s">
        <v>2727</v>
      </c>
      <c r="C752" s="5" t="s">
        <v>2773</v>
      </c>
      <c r="D752" s="5" t="s">
        <v>2774</v>
      </c>
      <c r="E752" s="5" t="s">
        <v>2772</v>
      </c>
      <c r="F752" s="5" t="s">
        <v>2775</v>
      </c>
      <c r="G752" t="str">
        <f t="shared" si="11"/>
        <v>50701 : CITY BU Unemployment</v>
      </c>
    </row>
    <row r="753" spans="1:7">
      <c r="A753" s="5" t="s">
        <v>2726</v>
      </c>
      <c r="B753" s="5" t="s">
        <v>2727</v>
      </c>
      <c r="C753" s="5" t="s">
        <v>2776</v>
      </c>
      <c r="D753" s="5" t="s">
        <v>2777</v>
      </c>
      <c r="E753" s="5" t="s">
        <v>2772</v>
      </c>
      <c r="F753" s="5" t="s">
        <v>2775</v>
      </c>
      <c r="G753" t="str">
        <f t="shared" si="11"/>
        <v>50701 : State BU Unemployment</v>
      </c>
    </row>
    <row r="754" spans="1:7">
      <c r="A754" s="5" t="s">
        <v>2726</v>
      </c>
      <c r="B754" s="5" t="s">
        <v>2727</v>
      </c>
      <c r="C754" s="5" t="s">
        <v>2778</v>
      </c>
      <c r="D754" s="5" t="s">
        <v>2778</v>
      </c>
      <c r="E754" s="5" t="s">
        <v>2772</v>
      </c>
      <c r="F754" s="5" t="s">
        <v>2775</v>
      </c>
      <c r="G754" t="str">
        <f t="shared" si="11"/>
        <v>50701 : 800</v>
      </c>
    </row>
    <row r="755" spans="1:7">
      <c r="A755" s="5" t="s">
        <v>2726</v>
      </c>
      <c r="B755" s="5" t="s">
        <v>2727</v>
      </c>
      <c r="C755" s="5" t="s">
        <v>2780</v>
      </c>
      <c r="D755" s="5" t="s">
        <v>2781</v>
      </c>
      <c r="E755" s="5" t="s">
        <v>2779</v>
      </c>
      <c r="F755" s="5" t="s">
        <v>2782</v>
      </c>
      <c r="G755" t="str">
        <f t="shared" si="11"/>
        <v>50753 : Uniforms</v>
      </c>
    </row>
    <row r="756" spans="1:7">
      <c r="A756" s="5" t="s">
        <v>2726</v>
      </c>
      <c r="B756" s="5" t="s">
        <v>2727</v>
      </c>
      <c r="C756" s="5" t="s">
        <v>2784</v>
      </c>
      <c r="D756" s="5" t="s">
        <v>2785</v>
      </c>
      <c r="E756" s="5" t="s">
        <v>2783</v>
      </c>
      <c r="F756" s="5" t="s">
        <v>2440</v>
      </c>
      <c r="G756" t="str">
        <f t="shared" si="11"/>
        <v>52701 : Honoraria</v>
      </c>
    </row>
    <row r="757" spans="1:7">
      <c r="A757" s="5" t="s">
        <v>2726</v>
      </c>
      <c r="B757" s="5" t="s">
        <v>2727</v>
      </c>
      <c r="C757" s="5" t="s">
        <v>2786</v>
      </c>
      <c r="D757" s="5" t="s">
        <v>2786</v>
      </c>
      <c r="E757" s="5" t="s">
        <v>2783</v>
      </c>
      <c r="F757" s="5" t="s">
        <v>2440</v>
      </c>
      <c r="G757" t="str">
        <f t="shared" si="11"/>
        <v>52701 : 3000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T796"/>
  <sheetViews>
    <sheetView topLeftCell="A754" workbookViewId="0">
      <selection activeCell="F785" sqref="F785"/>
    </sheetView>
  </sheetViews>
  <sheetFormatPr defaultColWidth="10.28515625" defaultRowHeight="15"/>
  <cols>
    <col min="1" max="2" width="17.5703125" customWidth="1"/>
    <col min="3" max="3" width="13.42578125" customWidth="1"/>
    <col min="4" max="8" width="40.42578125" customWidth="1"/>
    <col min="9" max="9" width="40" customWidth="1"/>
    <col min="10" max="10" width="12.140625" customWidth="1"/>
    <col min="11" max="11" width="17.5703125" customWidth="1"/>
    <col min="12" max="12" width="18.85546875" customWidth="1"/>
    <col min="13" max="13" width="16.140625" customWidth="1"/>
    <col min="14" max="14" width="18.85546875" customWidth="1"/>
    <col min="15" max="15" width="25.7109375" customWidth="1"/>
    <col min="16" max="20" width="41.85546875" customWidth="1"/>
    <col min="257" max="258" width="17.5703125" customWidth="1"/>
    <col min="259" max="259" width="13.42578125" customWidth="1"/>
    <col min="260" max="264" width="40.42578125" customWidth="1"/>
    <col min="265" max="265" width="40" customWidth="1"/>
    <col min="266" max="266" width="12.140625" customWidth="1"/>
    <col min="267" max="267" width="17.5703125" customWidth="1"/>
    <col min="268" max="268" width="18.85546875" customWidth="1"/>
    <col min="269" max="269" width="16.140625" customWidth="1"/>
    <col min="270" max="270" width="18.85546875" customWidth="1"/>
    <col min="271" max="271" width="25.7109375" customWidth="1"/>
    <col min="272" max="276" width="41.85546875" customWidth="1"/>
    <col min="513" max="514" width="17.5703125" customWidth="1"/>
    <col min="515" max="515" width="13.42578125" customWidth="1"/>
    <col min="516" max="520" width="40.42578125" customWidth="1"/>
    <col min="521" max="521" width="40" customWidth="1"/>
    <col min="522" max="522" width="12.140625" customWidth="1"/>
    <col min="523" max="523" width="17.5703125" customWidth="1"/>
    <col min="524" max="524" width="18.85546875" customWidth="1"/>
    <col min="525" max="525" width="16.140625" customWidth="1"/>
    <col min="526" max="526" width="18.85546875" customWidth="1"/>
    <col min="527" max="527" width="25.7109375" customWidth="1"/>
    <col min="528" max="532" width="41.85546875" customWidth="1"/>
    <col min="769" max="770" width="17.5703125" customWidth="1"/>
    <col min="771" max="771" width="13.42578125" customWidth="1"/>
    <col min="772" max="776" width="40.42578125" customWidth="1"/>
    <col min="777" max="777" width="40" customWidth="1"/>
    <col min="778" max="778" width="12.140625" customWidth="1"/>
    <col min="779" max="779" width="17.5703125" customWidth="1"/>
    <col min="780" max="780" width="18.85546875" customWidth="1"/>
    <col min="781" max="781" width="16.140625" customWidth="1"/>
    <col min="782" max="782" width="18.85546875" customWidth="1"/>
    <col min="783" max="783" width="25.7109375" customWidth="1"/>
    <col min="784" max="788" width="41.85546875" customWidth="1"/>
    <col min="1025" max="1026" width="17.5703125" customWidth="1"/>
    <col min="1027" max="1027" width="13.42578125" customWidth="1"/>
    <col min="1028" max="1032" width="40.42578125" customWidth="1"/>
    <col min="1033" max="1033" width="40" customWidth="1"/>
    <col min="1034" max="1034" width="12.140625" customWidth="1"/>
    <col min="1035" max="1035" width="17.5703125" customWidth="1"/>
    <col min="1036" max="1036" width="18.85546875" customWidth="1"/>
    <col min="1037" max="1037" width="16.140625" customWidth="1"/>
    <col min="1038" max="1038" width="18.85546875" customWidth="1"/>
    <col min="1039" max="1039" width="25.7109375" customWidth="1"/>
    <col min="1040" max="1044" width="41.85546875" customWidth="1"/>
    <col min="1281" max="1282" width="17.5703125" customWidth="1"/>
    <col min="1283" max="1283" width="13.42578125" customWidth="1"/>
    <col min="1284" max="1288" width="40.42578125" customWidth="1"/>
    <col min="1289" max="1289" width="40" customWidth="1"/>
    <col min="1290" max="1290" width="12.140625" customWidth="1"/>
    <col min="1291" max="1291" width="17.5703125" customWidth="1"/>
    <col min="1292" max="1292" width="18.85546875" customWidth="1"/>
    <col min="1293" max="1293" width="16.140625" customWidth="1"/>
    <col min="1294" max="1294" width="18.85546875" customWidth="1"/>
    <col min="1295" max="1295" width="25.7109375" customWidth="1"/>
    <col min="1296" max="1300" width="41.85546875" customWidth="1"/>
    <col min="1537" max="1538" width="17.5703125" customWidth="1"/>
    <col min="1539" max="1539" width="13.42578125" customWidth="1"/>
    <col min="1540" max="1544" width="40.42578125" customWidth="1"/>
    <col min="1545" max="1545" width="40" customWidth="1"/>
    <col min="1546" max="1546" width="12.140625" customWidth="1"/>
    <col min="1547" max="1547" width="17.5703125" customWidth="1"/>
    <col min="1548" max="1548" width="18.85546875" customWidth="1"/>
    <col min="1549" max="1549" width="16.140625" customWidth="1"/>
    <col min="1550" max="1550" width="18.85546875" customWidth="1"/>
    <col min="1551" max="1551" width="25.7109375" customWidth="1"/>
    <col min="1552" max="1556" width="41.85546875" customWidth="1"/>
    <col min="1793" max="1794" width="17.5703125" customWidth="1"/>
    <col min="1795" max="1795" width="13.42578125" customWidth="1"/>
    <col min="1796" max="1800" width="40.42578125" customWidth="1"/>
    <col min="1801" max="1801" width="40" customWidth="1"/>
    <col min="1802" max="1802" width="12.140625" customWidth="1"/>
    <col min="1803" max="1803" width="17.5703125" customWidth="1"/>
    <col min="1804" max="1804" width="18.85546875" customWidth="1"/>
    <col min="1805" max="1805" width="16.140625" customWidth="1"/>
    <col min="1806" max="1806" width="18.85546875" customWidth="1"/>
    <col min="1807" max="1807" width="25.7109375" customWidth="1"/>
    <col min="1808" max="1812" width="41.85546875" customWidth="1"/>
    <col min="2049" max="2050" width="17.5703125" customWidth="1"/>
    <col min="2051" max="2051" width="13.42578125" customWidth="1"/>
    <col min="2052" max="2056" width="40.42578125" customWidth="1"/>
    <col min="2057" max="2057" width="40" customWidth="1"/>
    <col min="2058" max="2058" width="12.140625" customWidth="1"/>
    <col min="2059" max="2059" width="17.5703125" customWidth="1"/>
    <col min="2060" max="2060" width="18.85546875" customWidth="1"/>
    <col min="2061" max="2061" width="16.140625" customWidth="1"/>
    <col min="2062" max="2062" width="18.85546875" customWidth="1"/>
    <col min="2063" max="2063" width="25.7109375" customWidth="1"/>
    <col min="2064" max="2068" width="41.85546875" customWidth="1"/>
    <col min="2305" max="2306" width="17.5703125" customWidth="1"/>
    <col min="2307" max="2307" width="13.42578125" customWidth="1"/>
    <col min="2308" max="2312" width="40.42578125" customWidth="1"/>
    <col min="2313" max="2313" width="40" customWidth="1"/>
    <col min="2314" max="2314" width="12.140625" customWidth="1"/>
    <col min="2315" max="2315" width="17.5703125" customWidth="1"/>
    <col min="2316" max="2316" width="18.85546875" customWidth="1"/>
    <col min="2317" max="2317" width="16.140625" customWidth="1"/>
    <col min="2318" max="2318" width="18.85546875" customWidth="1"/>
    <col min="2319" max="2319" width="25.7109375" customWidth="1"/>
    <col min="2320" max="2324" width="41.85546875" customWidth="1"/>
    <col min="2561" max="2562" width="17.5703125" customWidth="1"/>
    <col min="2563" max="2563" width="13.42578125" customWidth="1"/>
    <col min="2564" max="2568" width="40.42578125" customWidth="1"/>
    <col min="2569" max="2569" width="40" customWidth="1"/>
    <col min="2570" max="2570" width="12.140625" customWidth="1"/>
    <col min="2571" max="2571" width="17.5703125" customWidth="1"/>
    <col min="2572" max="2572" width="18.85546875" customWidth="1"/>
    <col min="2573" max="2573" width="16.140625" customWidth="1"/>
    <col min="2574" max="2574" width="18.85546875" customWidth="1"/>
    <col min="2575" max="2575" width="25.7109375" customWidth="1"/>
    <col min="2576" max="2580" width="41.85546875" customWidth="1"/>
    <col min="2817" max="2818" width="17.5703125" customWidth="1"/>
    <col min="2819" max="2819" width="13.42578125" customWidth="1"/>
    <col min="2820" max="2824" width="40.42578125" customWidth="1"/>
    <col min="2825" max="2825" width="40" customWidth="1"/>
    <col min="2826" max="2826" width="12.140625" customWidth="1"/>
    <col min="2827" max="2827" width="17.5703125" customWidth="1"/>
    <col min="2828" max="2828" width="18.85546875" customWidth="1"/>
    <col min="2829" max="2829" width="16.140625" customWidth="1"/>
    <col min="2830" max="2830" width="18.85546875" customWidth="1"/>
    <col min="2831" max="2831" width="25.7109375" customWidth="1"/>
    <col min="2832" max="2836" width="41.85546875" customWidth="1"/>
    <col min="3073" max="3074" width="17.5703125" customWidth="1"/>
    <col min="3075" max="3075" width="13.42578125" customWidth="1"/>
    <col min="3076" max="3080" width="40.42578125" customWidth="1"/>
    <col min="3081" max="3081" width="40" customWidth="1"/>
    <col min="3082" max="3082" width="12.140625" customWidth="1"/>
    <col min="3083" max="3083" width="17.5703125" customWidth="1"/>
    <col min="3084" max="3084" width="18.85546875" customWidth="1"/>
    <col min="3085" max="3085" width="16.140625" customWidth="1"/>
    <col min="3086" max="3086" width="18.85546875" customWidth="1"/>
    <col min="3087" max="3087" width="25.7109375" customWidth="1"/>
    <col min="3088" max="3092" width="41.85546875" customWidth="1"/>
    <col min="3329" max="3330" width="17.5703125" customWidth="1"/>
    <col min="3331" max="3331" width="13.42578125" customWidth="1"/>
    <col min="3332" max="3336" width="40.42578125" customWidth="1"/>
    <col min="3337" max="3337" width="40" customWidth="1"/>
    <col min="3338" max="3338" width="12.140625" customWidth="1"/>
    <col min="3339" max="3339" width="17.5703125" customWidth="1"/>
    <col min="3340" max="3340" width="18.85546875" customWidth="1"/>
    <col min="3341" max="3341" width="16.140625" customWidth="1"/>
    <col min="3342" max="3342" width="18.85546875" customWidth="1"/>
    <col min="3343" max="3343" width="25.7109375" customWidth="1"/>
    <col min="3344" max="3348" width="41.85546875" customWidth="1"/>
    <col min="3585" max="3586" width="17.5703125" customWidth="1"/>
    <col min="3587" max="3587" width="13.42578125" customWidth="1"/>
    <col min="3588" max="3592" width="40.42578125" customWidth="1"/>
    <col min="3593" max="3593" width="40" customWidth="1"/>
    <col min="3594" max="3594" width="12.140625" customWidth="1"/>
    <col min="3595" max="3595" width="17.5703125" customWidth="1"/>
    <col min="3596" max="3596" width="18.85546875" customWidth="1"/>
    <col min="3597" max="3597" width="16.140625" customWidth="1"/>
    <col min="3598" max="3598" width="18.85546875" customWidth="1"/>
    <col min="3599" max="3599" width="25.7109375" customWidth="1"/>
    <col min="3600" max="3604" width="41.85546875" customWidth="1"/>
    <col min="3841" max="3842" width="17.5703125" customWidth="1"/>
    <col min="3843" max="3843" width="13.42578125" customWidth="1"/>
    <col min="3844" max="3848" width="40.42578125" customWidth="1"/>
    <col min="3849" max="3849" width="40" customWidth="1"/>
    <col min="3850" max="3850" width="12.140625" customWidth="1"/>
    <col min="3851" max="3851" width="17.5703125" customWidth="1"/>
    <col min="3852" max="3852" width="18.85546875" customWidth="1"/>
    <col min="3853" max="3853" width="16.140625" customWidth="1"/>
    <col min="3854" max="3854" width="18.85546875" customWidth="1"/>
    <col min="3855" max="3855" width="25.7109375" customWidth="1"/>
    <col min="3856" max="3860" width="41.85546875" customWidth="1"/>
    <col min="4097" max="4098" width="17.5703125" customWidth="1"/>
    <col min="4099" max="4099" width="13.42578125" customWidth="1"/>
    <col min="4100" max="4104" width="40.42578125" customWidth="1"/>
    <col min="4105" max="4105" width="40" customWidth="1"/>
    <col min="4106" max="4106" width="12.140625" customWidth="1"/>
    <col min="4107" max="4107" width="17.5703125" customWidth="1"/>
    <col min="4108" max="4108" width="18.85546875" customWidth="1"/>
    <col min="4109" max="4109" width="16.140625" customWidth="1"/>
    <col min="4110" max="4110" width="18.85546875" customWidth="1"/>
    <col min="4111" max="4111" width="25.7109375" customWidth="1"/>
    <col min="4112" max="4116" width="41.85546875" customWidth="1"/>
    <col min="4353" max="4354" width="17.5703125" customWidth="1"/>
    <col min="4355" max="4355" width="13.42578125" customWidth="1"/>
    <col min="4356" max="4360" width="40.42578125" customWidth="1"/>
    <col min="4361" max="4361" width="40" customWidth="1"/>
    <col min="4362" max="4362" width="12.140625" customWidth="1"/>
    <col min="4363" max="4363" width="17.5703125" customWidth="1"/>
    <col min="4364" max="4364" width="18.85546875" customWidth="1"/>
    <col min="4365" max="4365" width="16.140625" customWidth="1"/>
    <col min="4366" max="4366" width="18.85546875" customWidth="1"/>
    <col min="4367" max="4367" width="25.7109375" customWidth="1"/>
    <col min="4368" max="4372" width="41.85546875" customWidth="1"/>
    <col min="4609" max="4610" width="17.5703125" customWidth="1"/>
    <col min="4611" max="4611" width="13.42578125" customWidth="1"/>
    <col min="4612" max="4616" width="40.42578125" customWidth="1"/>
    <col min="4617" max="4617" width="40" customWidth="1"/>
    <col min="4618" max="4618" width="12.140625" customWidth="1"/>
    <col min="4619" max="4619" width="17.5703125" customWidth="1"/>
    <col min="4620" max="4620" width="18.85546875" customWidth="1"/>
    <col min="4621" max="4621" width="16.140625" customWidth="1"/>
    <col min="4622" max="4622" width="18.85546875" customWidth="1"/>
    <col min="4623" max="4623" width="25.7109375" customWidth="1"/>
    <col min="4624" max="4628" width="41.85546875" customWidth="1"/>
    <col min="4865" max="4866" width="17.5703125" customWidth="1"/>
    <col min="4867" max="4867" width="13.42578125" customWidth="1"/>
    <col min="4868" max="4872" width="40.42578125" customWidth="1"/>
    <col min="4873" max="4873" width="40" customWidth="1"/>
    <col min="4874" max="4874" width="12.140625" customWidth="1"/>
    <col min="4875" max="4875" width="17.5703125" customWidth="1"/>
    <col min="4876" max="4876" width="18.85546875" customWidth="1"/>
    <col min="4877" max="4877" width="16.140625" customWidth="1"/>
    <col min="4878" max="4878" width="18.85546875" customWidth="1"/>
    <col min="4879" max="4879" width="25.7109375" customWidth="1"/>
    <col min="4880" max="4884" width="41.85546875" customWidth="1"/>
    <col min="5121" max="5122" width="17.5703125" customWidth="1"/>
    <col min="5123" max="5123" width="13.42578125" customWidth="1"/>
    <col min="5124" max="5128" width="40.42578125" customWidth="1"/>
    <col min="5129" max="5129" width="40" customWidth="1"/>
    <col min="5130" max="5130" width="12.140625" customWidth="1"/>
    <col min="5131" max="5131" width="17.5703125" customWidth="1"/>
    <col min="5132" max="5132" width="18.85546875" customWidth="1"/>
    <col min="5133" max="5133" width="16.140625" customWidth="1"/>
    <col min="5134" max="5134" width="18.85546875" customWidth="1"/>
    <col min="5135" max="5135" width="25.7109375" customWidth="1"/>
    <col min="5136" max="5140" width="41.85546875" customWidth="1"/>
    <col min="5377" max="5378" width="17.5703125" customWidth="1"/>
    <col min="5379" max="5379" width="13.42578125" customWidth="1"/>
    <col min="5380" max="5384" width="40.42578125" customWidth="1"/>
    <col min="5385" max="5385" width="40" customWidth="1"/>
    <col min="5386" max="5386" width="12.140625" customWidth="1"/>
    <col min="5387" max="5387" width="17.5703125" customWidth="1"/>
    <col min="5388" max="5388" width="18.85546875" customWidth="1"/>
    <col min="5389" max="5389" width="16.140625" customWidth="1"/>
    <col min="5390" max="5390" width="18.85546875" customWidth="1"/>
    <col min="5391" max="5391" width="25.7109375" customWidth="1"/>
    <col min="5392" max="5396" width="41.85546875" customWidth="1"/>
    <col min="5633" max="5634" width="17.5703125" customWidth="1"/>
    <col min="5635" max="5635" width="13.42578125" customWidth="1"/>
    <col min="5636" max="5640" width="40.42578125" customWidth="1"/>
    <col min="5641" max="5641" width="40" customWidth="1"/>
    <col min="5642" max="5642" width="12.140625" customWidth="1"/>
    <col min="5643" max="5643" width="17.5703125" customWidth="1"/>
    <col min="5644" max="5644" width="18.85546875" customWidth="1"/>
    <col min="5645" max="5645" width="16.140625" customWidth="1"/>
    <col min="5646" max="5646" width="18.85546875" customWidth="1"/>
    <col min="5647" max="5647" width="25.7109375" customWidth="1"/>
    <col min="5648" max="5652" width="41.85546875" customWidth="1"/>
    <col min="5889" max="5890" width="17.5703125" customWidth="1"/>
    <col min="5891" max="5891" width="13.42578125" customWidth="1"/>
    <col min="5892" max="5896" width="40.42578125" customWidth="1"/>
    <col min="5897" max="5897" width="40" customWidth="1"/>
    <col min="5898" max="5898" width="12.140625" customWidth="1"/>
    <col min="5899" max="5899" width="17.5703125" customWidth="1"/>
    <col min="5900" max="5900" width="18.85546875" customWidth="1"/>
    <col min="5901" max="5901" width="16.140625" customWidth="1"/>
    <col min="5902" max="5902" width="18.85546875" customWidth="1"/>
    <col min="5903" max="5903" width="25.7109375" customWidth="1"/>
    <col min="5904" max="5908" width="41.85546875" customWidth="1"/>
    <col min="6145" max="6146" width="17.5703125" customWidth="1"/>
    <col min="6147" max="6147" width="13.42578125" customWidth="1"/>
    <col min="6148" max="6152" width="40.42578125" customWidth="1"/>
    <col min="6153" max="6153" width="40" customWidth="1"/>
    <col min="6154" max="6154" width="12.140625" customWidth="1"/>
    <col min="6155" max="6155" width="17.5703125" customWidth="1"/>
    <col min="6156" max="6156" width="18.85546875" customWidth="1"/>
    <col min="6157" max="6157" width="16.140625" customWidth="1"/>
    <col min="6158" max="6158" width="18.85546875" customWidth="1"/>
    <col min="6159" max="6159" width="25.7109375" customWidth="1"/>
    <col min="6160" max="6164" width="41.85546875" customWidth="1"/>
    <col min="6401" max="6402" width="17.5703125" customWidth="1"/>
    <col min="6403" max="6403" width="13.42578125" customWidth="1"/>
    <col min="6404" max="6408" width="40.42578125" customWidth="1"/>
    <col min="6409" max="6409" width="40" customWidth="1"/>
    <col min="6410" max="6410" width="12.140625" customWidth="1"/>
    <col min="6411" max="6411" width="17.5703125" customWidth="1"/>
    <col min="6412" max="6412" width="18.85546875" customWidth="1"/>
    <col min="6413" max="6413" width="16.140625" customWidth="1"/>
    <col min="6414" max="6414" width="18.85546875" customWidth="1"/>
    <col min="6415" max="6415" width="25.7109375" customWidth="1"/>
    <col min="6416" max="6420" width="41.85546875" customWidth="1"/>
    <col min="6657" max="6658" width="17.5703125" customWidth="1"/>
    <col min="6659" max="6659" width="13.42578125" customWidth="1"/>
    <col min="6660" max="6664" width="40.42578125" customWidth="1"/>
    <col min="6665" max="6665" width="40" customWidth="1"/>
    <col min="6666" max="6666" width="12.140625" customWidth="1"/>
    <col min="6667" max="6667" width="17.5703125" customWidth="1"/>
    <col min="6668" max="6668" width="18.85546875" customWidth="1"/>
    <col min="6669" max="6669" width="16.140625" customWidth="1"/>
    <col min="6670" max="6670" width="18.85546875" customWidth="1"/>
    <col min="6671" max="6671" width="25.7109375" customWidth="1"/>
    <col min="6672" max="6676" width="41.85546875" customWidth="1"/>
    <col min="6913" max="6914" width="17.5703125" customWidth="1"/>
    <col min="6915" max="6915" width="13.42578125" customWidth="1"/>
    <col min="6916" max="6920" width="40.42578125" customWidth="1"/>
    <col min="6921" max="6921" width="40" customWidth="1"/>
    <col min="6922" max="6922" width="12.140625" customWidth="1"/>
    <col min="6923" max="6923" width="17.5703125" customWidth="1"/>
    <col min="6924" max="6924" width="18.85546875" customWidth="1"/>
    <col min="6925" max="6925" width="16.140625" customWidth="1"/>
    <col min="6926" max="6926" width="18.85546875" customWidth="1"/>
    <col min="6927" max="6927" width="25.7109375" customWidth="1"/>
    <col min="6928" max="6932" width="41.85546875" customWidth="1"/>
    <col min="7169" max="7170" width="17.5703125" customWidth="1"/>
    <col min="7171" max="7171" width="13.42578125" customWidth="1"/>
    <col min="7172" max="7176" width="40.42578125" customWidth="1"/>
    <col min="7177" max="7177" width="40" customWidth="1"/>
    <col min="7178" max="7178" width="12.140625" customWidth="1"/>
    <col min="7179" max="7179" width="17.5703125" customWidth="1"/>
    <col min="7180" max="7180" width="18.85546875" customWidth="1"/>
    <col min="7181" max="7181" width="16.140625" customWidth="1"/>
    <col min="7182" max="7182" width="18.85546875" customWidth="1"/>
    <col min="7183" max="7183" width="25.7109375" customWidth="1"/>
    <col min="7184" max="7188" width="41.85546875" customWidth="1"/>
    <col min="7425" max="7426" width="17.5703125" customWidth="1"/>
    <col min="7427" max="7427" width="13.42578125" customWidth="1"/>
    <col min="7428" max="7432" width="40.42578125" customWidth="1"/>
    <col min="7433" max="7433" width="40" customWidth="1"/>
    <col min="7434" max="7434" width="12.140625" customWidth="1"/>
    <col min="7435" max="7435" width="17.5703125" customWidth="1"/>
    <col min="7436" max="7436" width="18.85546875" customWidth="1"/>
    <col min="7437" max="7437" width="16.140625" customWidth="1"/>
    <col min="7438" max="7438" width="18.85546875" customWidth="1"/>
    <col min="7439" max="7439" width="25.7109375" customWidth="1"/>
    <col min="7440" max="7444" width="41.85546875" customWidth="1"/>
    <col min="7681" max="7682" width="17.5703125" customWidth="1"/>
    <col min="7683" max="7683" width="13.42578125" customWidth="1"/>
    <col min="7684" max="7688" width="40.42578125" customWidth="1"/>
    <col min="7689" max="7689" width="40" customWidth="1"/>
    <col min="7690" max="7690" width="12.140625" customWidth="1"/>
    <col min="7691" max="7691" width="17.5703125" customWidth="1"/>
    <col min="7692" max="7692" width="18.85546875" customWidth="1"/>
    <col min="7693" max="7693" width="16.140625" customWidth="1"/>
    <col min="7694" max="7694" width="18.85546875" customWidth="1"/>
    <col min="7695" max="7695" width="25.7109375" customWidth="1"/>
    <col min="7696" max="7700" width="41.85546875" customWidth="1"/>
    <col min="7937" max="7938" width="17.5703125" customWidth="1"/>
    <col min="7939" max="7939" width="13.42578125" customWidth="1"/>
    <col min="7940" max="7944" width="40.42578125" customWidth="1"/>
    <col min="7945" max="7945" width="40" customWidth="1"/>
    <col min="7946" max="7946" width="12.140625" customWidth="1"/>
    <col min="7947" max="7947" width="17.5703125" customWidth="1"/>
    <col min="7948" max="7948" width="18.85546875" customWidth="1"/>
    <col min="7949" max="7949" width="16.140625" customWidth="1"/>
    <col min="7950" max="7950" width="18.85546875" customWidth="1"/>
    <col min="7951" max="7951" width="25.7109375" customWidth="1"/>
    <col min="7952" max="7956" width="41.85546875" customWidth="1"/>
    <col min="8193" max="8194" width="17.5703125" customWidth="1"/>
    <col min="8195" max="8195" width="13.42578125" customWidth="1"/>
    <col min="8196" max="8200" width="40.42578125" customWidth="1"/>
    <col min="8201" max="8201" width="40" customWidth="1"/>
    <col min="8202" max="8202" width="12.140625" customWidth="1"/>
    <col min="8203" max="8203" width="17.5703125" customWidth="1"/>
    <col min="8204" max="8204" width="18.85546875" customWidth="1"/>
    <col min="8205" max="8205" width="16.140625" customWidth="1"/>
    <col min="8206" max="8206" width="18.85546875" customWidth="1"/>
    <col min="8207" max="8207" width="25.7109375" customWidth="1"/>
    <col min="8208" max="8212" width="41.85546875" customWidth="1"/>
    <col min="8449" max="8450" width="17.5703125" customWidth="1"/>
    <col min="8451" max="8451" width="13.42578125" customWidth="1"/>
    <col min="8452" max="8456" width="40.42578125" customWidth="1"/>
    <col min="8457" max="8457" width="40" customWidth="1"/>
    <col min="8458" max="8458" width="12.140625" customWidth="1"/>
    <col min="8459" max="8459" width="17.5703125" customWidth="1"/>
    <col min="8460" max="8460" width="18.85546875" customWidth="1"/>
    <col min="8461" max="8461" width="16.140625" customWidth="1"/>
    <col min="8462" max="8462" width="18.85546875" customWidth="1"/>
    <col min="8463" max="8463" width="25.7109375" customWidth="1"/>
    <col min="8464" max="8468" width="41.85546875" customWidth="1"/>
    <col min="8705" max="8706" width="17.5703125" customWidth="1"/>
    <col min="8707" max="8707" width="13.42578125" customWidth="1"/>
    <col min="8708" max="8712" width="40.42578125" customWidth="1"/>
    <col min="8713" max="8713" width="40" customWidth="1"/>
    <col min="8714" max="8714" width="12.140625" customWidth="1"/>
    <col min="8715" max="8715" width="17.5703125" customWidth="1"/>
    <col min="8716" max="8716" width="18.85546875" customWidth="1"/>
    <col min="8717" max="8717" width="16.140625" customWidth="1"/>
    <col min="8718" max="8718" width="18.85546875" customWidth="1"/>
    <col min="8719" max="8719" width="25.7109375" customWidth="1"/>
    <col min="8720" max="8724" width="41.85546875" customWidth="1"/>
    <col min="8961" max="8962" width="17.5703125" customWidth="1"/>
    <col min="8963" max="8963" width="13.42578125" customWidth="1"/>
    <col min="8964" max="8968" width="40.42578125" customWidth="1"/>
    <col min="8969" max="8969" width="40" customWidth="1"/>
    <col min="8970" max="8970" width="12.140625" customWidth="1"/>
    <col min="8971" max="8971" width="17.5703125" customWidth="1"/>
    <col min="8972" max="8972" width="18.85546875" customWidth="1"/>
    <col min="8973" max="8973" width="16.140625" customWidth="1"/>
    <col min="8974" max="8974" width="18.85546875" customWidth="1"/>
    <col min="8975" max="8975" width="25.7109375" customWidth="1"/>
    <col min="8976" max="8980" width="41.85546875" customWidth="1"/>
    <col min="9217" max="9218" width="17.5703125" customWidth="1"/>
    <col min="9219" max="9219" width="13.42578125" customWidth="1"/>
    <col min="9220" max="9224" width="40.42578125" customWidth="1"/>
    <col min="9225" max="9225" width="40" customWidth="1"/>
    <col min="9226" max="9226" width="12.140625" customWidth="1"/>
    <col min="9227" max="9227" width="17.5703125" customWidth="1"/>
    <col min="9228" max="9228" width="18.85546875" customWidth="1"/>
    <col min="9229" max="9229" width="16.140625" customWidth="1"/>
    <col min="9230" max="9230" width="18.85546875" customWidth="1"/>
    <col min="9231" max="9231" width="25.7109375" customWidth="1"/>
    <col min="9232" max="9236" width="41.85546875" customWidth="1"/>
    <col min="9473" max="9474" width="17.5703125" customWidth="1"/>
    <col min="9475" max="9475" width="13.42578125" customWidth="1"/>
    <col min="9476" max="9480" width="40.42578125" customWidth="1"/>
    <col min="9481" max="9481" width="40" customWidth="1"/>
    <col min="9482" max="9482" width="12.140625" customWidth="1"/>
    <col min="9483" max="9483" width="17.5703125" customWidth="1"/>
    <col min="9484" max="9484" width="18.85546875" customWidth="1"/>
    <col min="9485" max="9485" width="16.140625" customWidth="1"/>
    <col min="9486" max="9486" width="18.85546875" customWidth="1"/>
    <col min="9487" max="9487" width="25.7109375" customWidth="1"/>
    <col min="9488" max="9492" width="41.85546875" customWidth="1"/>
    <col min="9729" max="9730" width="17.5703125" customWidth="1"/>
    <col min="9731" max="9731" width="13.42578125" customWidth="1"/>
    <col min="9732" max="9736" width="40.42578125" customWidth="1"/>
    <col min="9737" max="9737" width="40" customWidth="1"/>
    <col min="9738" max="9738" width="12.140625" customWidth="1"/>
    <col min="9739" max="9739" width="17.5703125" customWidth="1"/>
    <col min="9740" max="9740" width="18.85546875" customWidth="1"/>
    <col min="9741" max="9741" width="16.140625" customWidth="1"/>
    <col min="9742" max="9742" width="18.85546875" customWidth="1"/>
    <col min="9743" max="9743" width="25.7109375" customWidth="1"/>
    <col min="9744" max="9748" width="41.85546875" customWidth="1"/>
    <col min="9985" max="9986" width="17.5703125" customWidth="1"/>
    <col min="9987" max="9987" width="13.42578125" customWidth="1"/>
    <col min="9988" max="9992" width="40.42578125" customWidth="1"/>
    <col min="9993" max="9993" width="40" customWidth="1"/>
    <col min="9994" max="9994" width="12.140625" customWidth="1"/>
    <col min="9995" max="9995" width="17.5703125" customWidth="1"/>
    <col min="9996" max="9996" width="18.85546875" customWidth="1"/>
    <col min="9997" max="9997" width="16.140625" customWidth="1"/>
    <col min="9998" max="9998" width="18.85546875" customWidth="1"/>
    <col min="9999" max="9999" width="25.7109375" customWidth="1"/>
    <col min="10000" max="10004" width="41.85546875" customWidth="1"/>
    <col min="10241" max="10242" width="17.5703125" customWidth="1"/>
    <col min="10243" max="10243" width="13.42578125" customWidth="1"/>
    <col min="10244" max="10248" width="40.42578125" customWidth="1"/>
    <col min="10249" max="10249" width="40" customWidth="1"/>
    <col min="10250" max="10250" width="12.140625" customWidth="1"/>
    <col min="10251" max="10251" width="17.5703125" customWidth="1"/>
    <col min="10252" max="10252" width="18.85546875" customWidth="1"/>
    <col min="10253" max="10253" width="16.140625" customWidth="1"/>
    <col min="10254" max="10254" width="18.85546875" customWidth="1"/>
    <col min="10255" max="10255" width="25.7109375" customWidth="1"/>
    <col min="10256" max="10260" width="41.85546875" customWidth="1"/>
    <col min="10497" max="10498" width="17.5703125" customWidth="1"/>
    <col min="10499" max="10499" width="13.42578125" customWidth="1"/>
    <col min="10500" max="10504" width="40.42578125" customWidth="1"/>
    <col min="10505" max="10505" width="40" customWidth="1"/>
    <col min="10506" max="10506" width="12.140625" customWidth="1"/>
    <col min="10507" max="10507" width="17.5703125" customWidth="1"/>
    <col min="10508" max="10508" width="18.85546875" customWidth="1"/>
    <col min="10509" max="10509" width="16.140625" customWidth="1"/>
    <col min="10510" max="10510" width="18.85546875" customWidth="1"/>
    <col min="10511" max="10511" width="25.7109375" customWidth="1"/>
    <col min="10512" max="10516" width="41.85546875" customWidth="1"/>
    <col min="10753" max="10754" width="17.5703125" customWidth="1"/>
    <col min="10755" max="10755" width="13.42578125" customWidth="1"/>
    <col min="10756" max="10760" width="40.42578125" customWidth="1"/>
    <col min="10761" max="10761" width="40" customWidth="1"/>
    <col min="10762" max="10762" width="12.140625" customWidth="1"/>
    <col min="10763" max="10763" width="17.5703125" customWidth="1"/>
    <col min="10764" max="10764" width="18.85546875" customWidth="1"/>
    <col min="10765" max="10765" width="16.140625" customWidth="1"/>
    <col min="10766" max="10766" width="18.85546875" customWidth="1"/>
    <col min="10767" max="10767" width="25.7109375" customWidth="1"/>
    <col min="10768" max="10772" width="41.85546875" customWidth="1"/>
    <col min="11009" max="11010" width="17.5703125" customWidth="1"/>
    <col min="11011" max="11011" width="13.42578125" customWidth="1"/>
    <col min="11012" max="11016" width="40.42578125" customWidth="1"/>
    <col min="11017" max="11017" width="40" customWidth="1"/>
    <col min="11018" max="11018" width="12.140625" customWidth="1"/>
    <col min="11019" max="11019" width="17.5703125" customWidth="1"/>
    <col min="11020" max="11020" width="18.85546875" customWidth="1"/>
    <col min="11021" max="11021" width="16.140625" customWidth="1"/>
    <col min="11022" max="11022" width="18.85546875" customWidth="1"/>
    <col min="11023" max="11023" width="25.7109375" customWidth="1"/>
    <col min="11024" max="11028" width="41.85546875" customWidth="1"/>
    <col min="11265" max="11266" width="17.5703125" customWidth="1"/>
    <col min="11267" max="11267" width="13.42578125" customWidth="1"/>
    <col min="11268" max="11272" width="40.42578125" customWidth="1"/>
    <col min="11273" max="11273" width="40" customWidth="1"/>
    <col min="11274" max="11274" width="12.140625" customWidth="1"/>
    <col min="11275" max="11275" width="17.5703125" customWidth="1"/>
    <col min="11276" max="11276" width="18.85546875" customWidth="1"/>
    <col min="11277" max="11277" width="16.140625" customWidth="1"/>
    <col min="11278" max="11278" width="18.85546875" customWidth="1"/>
    <col min="11279" max="11279" width="25.7109375" customWidth="1"/>
    <col min="11280" max="11284" width="41.85546875" customWidth="1"/>
    <col min="11521" max="11522" width="17.5703125" customWidth="1"/>
    <col min="11523" max="11523" width="13.42578125" customWidth="1"/>
    <col min="11524" max="11528" width="40.42578125" customWidth="1"/>
    <col min="11529" max="11529" width="40" customWidth="1"/>
    <col min="11530" max="11530" width="12.140625" customWidth="1"/>
    <col min="11531" max="11531" width="17.5703125" customWidth="1"/>
    <col min="11532" max="11532" width="18.85546875" customWidth="1"/>
    <col min="11533" max="11533" width="16.140625" customWidth="1"/>
    <col min="11534" max="11534" width="18.85546875" customWidth="1"/>
    <col min="11535" max="11535" width="25.7109375" customWidth="1"/>
    <col min="11536" max="11540" width="41.85546875" customWidth="1"/>
    <col min="11777" max="11778" width="17.5703125" customWidth="1"/>
    <col min="11779" max="11779" width="13.42578125" customWidth="1"/>
    <col min="11780" max="11784" width="40.42578125" customWidth="1"/>
    <col min="11785" max="11785" width="40" customWidth="1"/>
    <col min="11786" max="11786" width="12.140625" customWidth="1"/>
    <col min="11787" max="11787" width="17.5703125" customWidth="1"/>
    <col min="11788" max="11788" width="18.85546875" customWidth="1"/>
    <col min="11789" max="11789" width="16.140625" customWidth="1"/>
    <col min="11790" max="11790" width="18.85546875" customWidth="1"/>
    <col min="11791" max="11791" width="25.7109375" customWidth="1"/>
    <col min="11792" max="11796" width="41.85546875" customWidth="1"/>
    <col min="12033" max="12034" width="17.5703125" customWidth="1"/>
    <col min="12035" max="12035" width="13.42578125" customWidth="1"/>
    <col min="12036" max="12040" width="40.42578125" customWidth="1"/>
    <col min="12041" max="12041" width="40" customWidth="1"/>
    <col min="12042" max="12042" width="12.140625" customWidth="1"/>
    <col min="12043" max="12043" width="17.5703125" customWidth="1"/>
    <col min="12044" max="12044" width="18.85546875" customWidth="1"/>
    <col min="12045" max="12045" width="16.140625" customWidth="1"/>
    <col min="12046" max="12046" width="18.85546875" customWidth="1"/>
    <col min="12047" max="12047" width="25.7109375" customWidth="1"/>
    <col min="12048" max="12052" width="41.85546875" customWidth="1"/>
    <col min="12289" max="12290" width="17.5703125" customWidth="1"/>
    <col min="12291" max="12291" width="13.42578125" customWidth="1"/>
    <col min="12292" max="12296" width="40.42578125" customWidth="1"/>
    <col min="12297" max="12297" width="40" customWidth="1"/>
    <col min="12298" max="12298" width="12.140625" customWidth="1"/>
    <col min="12299" max="12299" width="17.5703125" customWidth="1"/>
    <col min="12300" max="12300" width="18.85546875" customWidth="1"/>
    <col min="12301" max="12301" width="16.140625" customWidth="1"/>
    <col min="12302" max="12302" width="18.85546875" customWidth="1"/>
    <col min="12303" max="12303" width="25.7109375" customWidth="1"/>
    <col min="12304" max="12308" width="41.85546875" customWidth="1"/>
    <col min="12545" max="12546" width="17.5703125" customWidth="1"/>
    <col min="12547" max="12547" width="13.42578125" customWidth="1"/>
    <col min="12548" max="12552" width="40.42578125" customWidth="1"/>
    <col min="12553" max="12553" width="40" customWidth="1"/>
    <col min="12554" max="12554" width="12.140625" customWidth="1"/>
    <col min="12555" max="12555" width="17.5703125" customWidth="1"/>
    <col min="12556" max="12556" width="18.85546875" customWidth="1"/>
    <col min="12557" max="12557" width="16.140625" customWidth="1"/>
    <col min="12558" max="12558" width="18.85546875" customWidth="1"/>
    <col min="12559" max="12559" width="25.7109375" customWidth="1"/>
    <col min="12560" max="12564" width="41.85546875" customWidth="1"/>
    <col min="12801" max="12802" width="17.5703125" customWidth="1"/>
    <col min="12803" max="12803" width="13.42578125" customWidth="1"/>
    <col min="12804" max="12808" width="40.42578125" customWidth="1"/>
    <col min="12809" max="12809" width="40" customWidth="1"/>
    <col min="12810" max="12810" width="12.140625" customWidth="1"/>
    <col min="12811" max="12811" width="17.5703125" customWidth="1"/>
    <col min="12812" max="12812" width="18.85546875" customWidth="1"/>
    <col min="12813" max="12813" width="16.140625" customWidth="1"/>
    <col min="12814" max="12814" width="18.85546875" customWidth="1"/>
    <col min="12815" max="12815" width="25.7109375" customWidth="1"/>
    <col min="12816" max="12820" width="41.85546875" customWidth="1"/>
    <col min="13057" max="13058" width="17.5703125" customWidth="1"/>
    <col min="13059" max="13059" width="13.42578125" customWidth="1"/>
    <col min="13060" max="13064" width="40.42578125" customWidth="1"/>
    <col min="13065" max="13065" width="40" customWidth="1"/>
    <col min="13066" max="13066" width="12.140625" customWidth="1"/>
    <col min="13067" max="13067" width="17.5703125" customWidth="1"/>
    <col min="13068" max="13068" width="18.85546875" customWidth="1"/>
    <col min="13069" max="13069" width="16.140625" customWidth="1"/>
    <col min="13070" max="13070" width="18.85546875" customWidth="1"/>
    <col min="13071" max="13071" width="25.7109375" customWidth="1"/>
    <col min="13072" max="13076" width="41.85546875" customWidth="1"/>
    <col min="13313" max="13314" width="17.5703125" customWidth="1"/>
    <col min="13315" max="13315" width="13.42578125" customWidth="1"/>
    <col min="13316" max="13320" width="40.42578125" customWidth="1"/>
    <col min="13321" max="13321" width="40" customWidth="1"/>
    <col min="13322" max="13322" width="12.140625" customWidth="1"/>
    <col min="13323" max="13323" width="17.5703125" customWidth="1"/>
    <col min="13324" max="13324" width="18.85546875" customWidth="1"/>
    <col min="13325" max="13325" width="16.140625" customWidth="1"/>
    <col min="13326" max="13326" width="18.85546875" customWidth="1"/>
    <col min="13327" max="13327" width="25.7109375" customWidth="1"/>
    <col min="13328" max="13332" width="41.85546875" customWidth="1"/>
    <col min="13569" max="13570" width="17.5703125" customWidth="1"/>
    <col min="13571" max="13571" width="13.42578125" customWidth="1"/>
    <col min="13572" max="13576" width="40.42578125" customWidth="1"/>
    <col min="13577" max="13577" width="40" customWidth="1"/>
    <col min="13578" max="13578" width="12.140625" customWidth="1"/>
    <col min="13579" max="13579" width="17.5703125" customWidth="1"/>
    <col min="13580" max="13580" width="18.85546875" customWidth="1"/>
    <col min="13581" max="13581" width="16.140625" customWidth="1"/>
    <col min="13582" max="13582" width="18.85546875" customWidth="1"/>
    <col min="13583" max="13583" width="25.7109375" customWidth="1"/>
    <col min="13584" max="13588" width="41.85546875" customWidth="1"/>
    <col min="13825" max="13826" width="17.5703125" customWidth="1"/>
    <col min="13827" max="13827" width="13.42578125" customWidth="1"/>
    <col min="13828" max="13832" width="40.42578125" customWidth="1"/>
    <col min="13833" max="13833" width="40" customWidth="1"/>
    <col min="13834" max="13834" width="12.140625" customWidth="1"/>
    <col min="13835" max="13835" width="17.5703125" customWidth="1"/>
    <col min="13836" max="13836" width="18.85546875" customWidth="1"/>
    <col min="13837" max="13837" width="16.140625" customWidth="1"/>
    <col min="13838" max="13838" width="18.85546875" customWidth="1"/>
    <col min="13839" max="13839" width="25.7109375" customWidth="1"/>
    <col min="13840" max="13844" width="41.85546875" customWidth="1"/>
    <col min="14081" max="14082" width="17.5703125" customWidth="1"/>
    <col min="14083" max="14083" width="13.42578125" customWidth="1"/>
    <col min="14084" max="14088" width="40.42578125" customWidth="1"/>
    <col min="14089" max="14089" width="40" customWidth="1"/>
    <col min="14090" max="14090" width="12.140625" customWidth="1"/>
    <col min="14091" max="14091" width="17.5703125" customWidth="1"/>
    <col min="14092" max="14092" width="18.85546875" customWidth="1"/>
    <col min="14093" max="14093" width="16.140625" customWidth="1"/>
    <col min="14094" max="14094" width="18.85546875" customWidth="1"/>
    <col min="14095" max="14095" width="25.7109375" customWidth="1"/>
    <col min="14096" max="14100" width="41.85546875" customWidth="1"/>
    <col min="14337" max="14338" width="17.5703125" customWidth="1"/>
    <col min="14339" max="14339" width="13.42578125" customWidth="1"/>
    <col min="14340" max="14344" width="40.42578125" customWidth="1"/>
    <col min="14345" max="14345" width="40" customWidth="1"/>
    <col min="14346" max="14346" width="12.140625" customWidth="1"/>
    <col min="14347" max="14347" width="17.5703125" customWidth="1"/>
    <col min="14348" max="14348" width="18.85546875" customWidth="1"/>
    <col min="14349" max="14349" width="16.140625" customWidth="1"/>
    <col min="14350" max="14350" width="18.85546875" customWidth="1"/>
    <col min="14351" max="14351" width="25.7109375" customWidth="1"/>
    <col min="14352" max="14356" width="41.85546875" customWidth="1"/>
    <col min="14593" max="14594" width="17.5703125" customWidth="1"/>
    <col min="14595" max="14595" width="13.42578125" customWidth="1"/>
    <col min="14596" max="14600" width="40.42578125" customWidth="1"/>
    <col min="14601" max="14601" width="40" customWidth="1"/>
    <col min="14602" max="14602" width="12.140625" customWidth="1"/>
    <col min="14603" max="14603" width="17.5703125" customWidth="1"/>
    <col min="14604" max="14604" width="18.85546875" customWidth="1"/>
    <col min="14605" max="14605" width="16.140625" customWidth="1"/>
    <col min="14606" max="14606" width="18.85546875" customWidth="1"/>
    <col min="14607" max="14607" width="25.7109375" customWidth="1"/>
    <col min="14608" max="14612" width="41.85546875" customWidth="1"/>
    <col min="14849" max="14850" width="17.5703125" customWidth="1"/>
    <col min="14851" max="14851" width="13.42578125" customWidth="1"/>
    <col min="14852" max="14856" width="40.42578125" customWidth="1"/>
    <col min="14857" max="14857" width="40" customWidth="1"/>
    <col min="14858" max="14858" width="12.140625" customWidth="1"/>
    <col min="14859" max="14859" width="17.5703125" customWidth="1"/>
    <col min="14860" max="14860" width="18.85546875" customWidth="1"/>
    <col min="14861" max="14861" width="16.140625" customWidth="1"/>
    <col min="14862" max="14862" width="18.85546875" customWidth="1"/>
    <col min="14863" max="14863" width="25.7109375" customWidth="1"/>
    <col min="14864" max="14868" width="41.85546875" customWidth="1"/>
    <col min="15105" max="15106" width="17.5703125" customWidth="1"/>
    <col min="15107" max="15107" width="13.42578125" customWidth="1"/>
    <col min="15108" max="15112" width="40.42578125" customWidth="1"/>
    <col min="15113" max="15113" width="40" customWidth="1"/>
    <col min="15114" max="15114" width="12.140625" customWidth="1"/>
    <col min="15115" max="15115" width="17.5703125" customWidth="1"/>
    <col min="15116" max="15116" width="18.85546875" customWidth="1"/>
    <col min="15117" max="15117" width="16.140625" customWidth="1"/>
    <col min="15118" max="15118" width="18.85546875" customWidth="1"/>
    <col min="15119" max="15119" width="25.7109375" customWidth="1"/>
    <col min="15120" max="15124" width="41.85546875" customWidth="1"/>
    <col min="15361" max="15362" width="17.5703125" customWidth="1"/>
    <col min="15363" max="15363" width="13.42578125" customWidth="1"/>
    <col min="15364" max="15368" width="40.42578125" customWidth="1"/>
    <col min="15369" max="15369" width="40" customWidth="1"/>
    <col min="15370" max="15370" width="12.140625" customWidth="1"/>
    <col min="15371" max="15371" width="17.5703125" customWidth="1"/>
    <col min="15372" max="15372" width="18.85546875" customWidth="1"/>
    <col min="15373" max="15373" width="16.140625" customWidth="1"/>
    <col min="15374" max="15374" width="18.85546875" customWidth="1"/>
    <col min="15375" max="15375" width="25.7109375" customWidth="1"/>
    <col min="15376" max="15380" width="41.85546875" customWidth="1"/>
    <col min="15617" max="15618" width="17.5703125" customWidth="1"/>
    <col min="15619" max="15619" width="13.42578125" customWidth="1"/>
    <col min="15620" max="15624" width="40.42578125" customWidth="1"/>
    <col min="15625" max="15625" width="40" customWidth="1"/>
    <col min="15626" max="15626" width="12.140625" customWidth="1"/>
    <col min="15627" max="15627" width="17.5703125" customWidth="1"/>
    <col min="15628" max="15628" width="18.85546875" customWidth="1"/>
    <col min="15629" max="15629" width="16.140625" customWidth="1"/>
    <col min="15630" max="15630" width="18.85546875" customWidth="1"/>
    <col min="15631" max="15631" width="25.7109375" customWidth="1"/>
    <col min="15632" max="15636" width="41.85546875" customWidth="1"/>
    <col min="15873" max="15874" width="17.5703125" customWidth="1"/>
    <col min="15875" max="15875" width="13.42578125" customWidth="1"/>
    <col min="15876" max="15880" width="40.42578125" customWidth="1"/>
    <col min="15881" max="15881" width="40" customWidth="1"/>
    <col min="15882" max="15882" width="12.140625" customWidth="1"/>
    <col min="15883" max="15883" width="17.5703125" customWidth="1"/>
    <col min="15884" max="15884" width="18.85546875" customWidth="1"/>
    <col min="15885" max="15885" width="16.140625" customWidth="1"/>
    <col min="15886" max="15886" width="18.85546875" customWidth="1"/>
    <col min="15887" max="15887" width="25.7109375" customWidth="1"/>
    <col min="15888" max="15892" width="41.85546875" customWidth="1"/>
    <col min="16129" max="16130" width="17.5703125" customWidth="1"/>
    <col min="16131" max="16131" width="13.42578125" customWidth="1"/>
    <col min="16132" max="16136" width="40.42578125" customWidth="1"/>
    <col min="16137" max="16137" width="40" customWidth="1"/>
    <col min="16138" max="16138" width="12.140625" customWidth="1"/>
    <col min="16139" max="16139" width="17.5703125" customWidth="1"/>
    <col min="16140" max="16140" width="18.85546875" customWidth="1"/>
    <col min="16141" max="16141" width="16.140625" customWidth="1"/>
    <col min="16142" max="16142" width="18.85546875" customWidth="1"/>
    <col min="16143" max="16143" width="25.7109375" customWidth="1"/>
    <col min="16144" max="16148" width="41.85546875" customWidth="1"/>
  </cols>
  <sheetData>
    <row r="1" spans="1:20" ht="16.5" thickTop="1" thickBot="1">
      <c r="A1" s="3" t="s">
        <v>1652</v>
      </c>
      <c r="B1" s="4" t="s">
        <v>1653</v>
      </c>
    </row>
    <row r="2" spans="1:20" ht="16.5" thickTop="1" thickBot="1">
      <c r="A2" s="3" t="s">
        <v>1654</v>
      </c>
      <c r="B2" s="3" t="s">
        <v>1655</v>
      </c>
      <c r="C2" s="3" t="s">
        <v>1656</v>
      </c>
      <c r="D2" s="3" t="s">
        <v>0</v>
      </c>
      <c r="E2" s="3" t="s">
        <v>1657</v>
      </c>
      <c r="F2" s="3" t="s">
        <v>1658</v>
      </c>
      <c r="G2" s="3" t="s">
        <v>1659</v>
      </c>
      <c r="H2" s="3" t="s">
        <v>1658</v>
      </c>
      <c r="I2" s="3" t="s">
        <v>1660</v>
      </c>
      <c r="J2" s="3" t="s">
        <v>1661</v>
      </c>
      <c r="K2" s="3" t="s">
        <v>1662</v>
      </c>
      <c r="L2" s="3" t="s">
        <v>1663</v>
      </c>
      <c r="M2" s="3" t="s">
        <v>1664</v>
      </c>
      <c r="N2" s="3" t="s">
        <v>1665</v>
      </c>
      <c r="O2" s="3" t="s">
        <v>1666</v>
      </c>
      <c r="P2" s="3" t="s">
        <v>1667</v>
      </c>
      <c r="Q2" s="3" t="s">
        <v>1668</v>
      </c>
      <c r="R2" s="3" t="s">
        <v>1669</v>
      </c>
      <c r="S2" s="3" t="s">
        <v>1670</v>
      </c>
      <c r="T2" s="3" t="s">
        <v>1671</v>
      </c>
    </row>
    <row r="3" spans="1:20" ht="15.75" thickTop="1">
      <c r="A3" s="5" t="s">
        <v>1672</v>
      </c>
      <c r="B3" s="5" t="s">
        <v>1673</v>
      </c>
      <c r="C3" s="5" t="s">
        <v>1674</v>
      </c>
      <c r="D3" s="5" t="s">
        <v>2</v>
      </c>
      <c r="E3" s="5" t="s">
        <v>1675</v>
      </c>
      <c r="F3" s="5" t="s">
        <v>1676</v>
      </c>
      <c r="G3" s="5" t="s">
        <v>1675</v>
      </c>
      <c r="H3" s="5" t="s">
        <v>1676</v>
      </c>
      <c r="I3" s="5" t="s">
        <v>1677</v>
      </c>
      <c r="J3" s="5" t="s">
        <v>1678</v>
      </c>
      <c r="K3" s="5" t="s">
        <v>1679</v>
      </c>
      <c r="L3" s="5" t="s">
        <v>1680</v>
      </c>
      <c r="M3" s="5" t="s">
        <v>1681</v>
      </c>
      <c r="N3" s="5" t="s">
        <v>1682</v>
      </c>
      <c r="O3" s="5" t="s">
        <v>1680</v>
      </c>
      <c r="P3" s="6">
        <v>58856</v>
      </c>
      <c r="Q3" s="6">
        <v>58856</v>
      </c>
      <c r="R3" s="6">
        <v>0</v>
      </c>
      <c r="S3" s="6">
        <v>0</v>
      </c>
      <c r="T3" s="6">
        <v>0</v>
      </c>
    </row>
    <row r="4" spans="1:20">
      <c r="A4" s="5" t="s">
        <v>1672</v>
      </c>
      <c r="B4" s="5" t="s">
        <v>1673</v>
      </c>
      <c r="C4" s="5" t="s">
        <v>1674</v>
      </c>
      <c r="D4" s="5" t="s">
        <v>2</v>
      </c>
      <c r="E4" s="5" t="s">
        <v>1683</v>
      </c>
      <c r="F4" s="5" t="s">
        <v>1684</v>
      </c>
      <c r="G4" s="5" t="s">
        <v>1683</v>
      </c>
      <c r="H4" s="5" t="s">
        <v>1684</v>
      </c>
      <c r="I4" s="5" t="s">
        <v>1677</v>
      </c>
      <c r="J4" s="5" t="s">
        <v>1678</v>
      </c>
      <c r="K4" s="5" t="s">
        <v>1679</v>
      </c>
      <c r="L4" s="5" t="s">
        <v>1680</v>
      </c>
      <c r="M4" s="5" t="s">
        <v>1681</v>
      </c>
      <c r="N4" s="5" t="s">
        <v>1682</v>
      </c>
      <c r="O4" s="5" t="s">
        <v>1680</v>
      </c>
      <c r="P4" s="6">
        <v>58856</v>
      </c>
      <c r="Q4" s="6">
        <v>58856</v>
      </c>
      <c r="R4" s="6">
        <v>0</v>
      </c>
      <c r="S4" s="6">
        <v>0</v>
      </c>
      <c r="T4" s="6">
        <v>0</v>
      </c>
    </row>
    <row r="5" spans="1:20">
      <c r="A5" s="5" t="s">
        <v>1672</v>
      </c>
      <c r="B5" s="5" t="s">
        <v>1673</v>
      </c>
      <c r="C5" s="5" t="s">
        <v>1674</v>
      </c>
      <c r="D5" s="5" t="s">
        <v>2</v>
      </c>
      <c r="E5" s="5" t="s">
        <v>1685</v>
      </c>
      <c r="F5" s="5" t="s">
        <v>1686</v>
      </c>
      <c r="G5" s="5" t="s">
        <v>1685</v>
      </c>
      <c r="H5" s="5" t="s">
        <v>1686</v>
      </c>
      <c r="I5" s="5" t="s">
        <v>1677</v>
      </c>
      <c r="J5" s="5" t="s">
        <v>1678</v>
      </c>
      <c r="K5" s="5" t="s">
        <v>1679</v>
      </c>
      <c r="L5" s="5" t="s">
        <v>1680</v>
      </c>
      <c r="M5" s="5" t="s">
        <v>1681</v>
      </c>
      <c r="N5" s="5" t="s">
        <v>1682</v>
      </c>
      <c r="O5" s="5" t="s">
        <v>1680</v>
      </c>
      <c r="P5" s="6">
        <v>58856</v>
      </c>
      <c r="Q5" s="6">
        <v>58856</v>
      </c>
      <c r="R5" s="6">
        <v>0</v>
      </c>
      <c r="S5" s="6">
        <v>0</v>
      </c>
      <c r="T5" s="6">
        <v>0</v>
      </c>
    </row>
    <row r="6" spans="1:20">
      <c r="A6" s="5" t="s">
        <v>1672</v>
      </c>
      <c r="B6" s="5" t="s">
        <v>1673</v>
      </c>
      <c r="C6" s="5" t="s">
        <v>1674</v>
      </c>
      <c r="D6" s="5" t="s">
        <v>2</v>
      </c>
      <c r="E6" s="5" t="s">
        <v>1687</v>
      </c>
      <c r="F6" s="5" t="s">
        <v>1688</v>
      </c>
      <c r="G6" s="5" t="s">
        <v>1687</v>
      </c>
      <c r="H6" s="5" t="s">
        <v>1688</v>
      </c>
      <c r="I6" s="5" t="s">
        <v>1677</v>
      </c>
      <c r="J6" s="5" t="s">
        <v>1678</v>
      </c>
      <c r="K6" s="5" t="s">
        <v>1679</v>
      </c>
      <c r="L6" s="5" t="s">
        <v>1680</v>
      </c>
      <c r="M6" s="5" t="s">
        <v>1681</v>
      </c>
      <c r="N6" s="5" t="s">
        <v>1682</v>
      </c>
      <c r="O6" s="5" t="s">
        <v>1680</v>
      </c>
      <c r="P6" s="6">
        <v>58856</v>
      </c>
      <c r="Q6" s="6">
        <v>58856</v>
      </c>
      <c r="R6" s="6">
        <v>0</v>
      </c>
      <c r="S6" s="6">
        <v>0</v>
      </c>
      <c r="T6" s="6">
        <v>0</v>
      </c>
    </row>
    <row r="7" spans="1:20">
      <c r="A7" s="5" t="s">
        <v>1672</v>
      </c>
      <c r="B7" s="5" t="s">
        <v>1673</v>
      </c>
      <c r="C7" s="5" t="s">
        <v>1674</v>
      </c>
      <c r="D7" s="5" t="s">
        <v>2</v>
      </c>
      <c r="E7" s="5" t="s">
        <v>1689</v>
      </c>
      <c r="F7" s="5" t="s">
        <v>1690</v>
      </c>
      <c r="G7" s="5" t="s">
        <v>1689</v>
      </c>
      <c r="H7" s="5" t="s">
        <v>1690</v>
      </c>
      <c r="I7" s="5" t="s">
        <v>1677</v>
      </c>
      <c r="J7" s="5" t="s">
        <v>1678</v>
      </c>
      <c r="K7" s="5" t="s">
        <v>1679</v>
      </c>
      <c r="L7" s="5" t="s">
        <v>1680</v>
      </c>
      <c r="M7" s="5" t="s">
        <v>1681</v>
      </c>
      <c r="N7" s="5" t="s">
        <v>1682</v>
      </c>
      <c r="O7" s="5" t="s">
        <v>1680</v>
      </c>
      <c r="P7" s="6">
        <v>58856</v>
      </c>
      <c r="Q7" s="6">
        <v>58856</v>
      </c>
      <c r="R7" s="6">
        <v>0</v>
      </c>
      <c r="S7" s="6">
        <v>0</v>
      </c>
      <c r="T7" s="6">
        <v>0</v>
      </c>
    </row>
    <row r="8" spans="1:20">
      <c r="A8" s="5" t="s">
        <v>1672</v>
      </c>
      <c r="B8" s="5" t="s">
        <v>1673</v>
      </c>
      <c r="C8" s="5" t="s">
        <v>1674</v>
      </c>
      <c r="D8" s="5" t="s">
        <v>2</v>
      </c>
      <c r="E8" s="5" t="s">
        <v>1691</v>
      </c>
      <c r="F8" s="5" t="s">
        <v>1692</v>
      </c>
      <c r="G8" s="5" t="s">
        <v>1693</v>
      </c>
      <c r="H8" s="5" t="s">
        <v>1694</v>
      </c>
      <c r="I8" s="5" t="s">
        <v>1677</v>
      </c>
      <c r="J8" s="5" t="s">
        <v>1678</v>
      </c>
      <c r="K8" s="5" t="s">
        <v>1679</v>
      </c>
      <c r="L8" s="5" t="s">
        <v>1680</v>
      </c>
      <c r="M8" s="5" t="s">
        <v>1681</v>
      </c>
      <c r="N8" s="5" t="s">
        <v>1682</v>
      </c>
      <c r="O8" s="5" t="s">
        <v>1680</v>
      </c>
      <c r="P8" s="6">
        <v>58856</v>
      </c>
      <c r="Q8" s="6">
        <v>58856</v>
      </c>
      <c r="R8" s="6">
        <v>0</v>
      </c>
      <c r="S8" s="6">
        <v>0</v>
      </c>
      <c r="T8" s="6">
        <v>0</v>
      </c>
    </row>
    <row r="9" spans="1:20">
      <c r="A9" s="5" t="s">
        <v>1672</v>
      </c>
      <c r="B9" s="5" t="s">
        <v>1673</v>
      </c>
      <c r="C9" s="5" t="s">
        <v>1674</v>
      </c>
      <c r="D9" s="5" t="s">
        <v>2</v>
      </c>
      <c r="E9" s="5" t="s">
        <v>1695</v>
      </c>
      <c r="F9" s="5" t="s">
        <v>1696</v>
      </c>
      <c r="G9" s="5" t="s">
        <v>1697</v>
      </c>
      <c r="H9" s="5" t="s">
        <v>1698</v>
      </c>
      <c r="I9" s="5" t="s">
        <v>1677</v>
      </c>
      <c r="J9" s="5" t="s">
        <v>1678</v>
      </c>
      <c r="K9" s="5" t="s">
        <v>1679</v>
      </c>
      <c r="L9" s="5" t="s">
        <v>1680</v>
      </c>
      <c r="M9" s="5" t="s">
        <v>1681</v>
      </c>
      <c r="N9" s="5" t="s">
        <v>1682</v>
      </c>
      <c r="O9" s="5" t="s">
        <v>1680</v>
      </c>
      <c r="P9" s="6">
        <v>58856</v>
      </c>
      <c r="Q9" s="6">
        <v>58856</v>
      </c>
      <c r="R9" s="6">
        <v>0</v>
      </c>
      <c r="S9" s="6">
        <v>0</v>
      </c>
      <c r="T9" s="6">
        <v>0</v>
      </c>
    </row>
    <row r="10" spans="1:20">
      <c r="A10" s="5" t="s">
        <v>1672</v>
      </c>
      <c r="B10" s="5" t="s">
        <v>1673</v>
      </c>
      <c r="C10" s="5" t="s">
        <v>1674</v>
      </c>
      <c r="D10" s="5" t="s">
        <v>2</v>
      </c>
      <c r="E10" s="5" t="s">
        <v>1699</v>
      </c>
      <c r="F10" s="5" t="s">
        <v>1700</v>
      </c>
      <c r="G10" s="5" t="s">
        <v>1699</v>
      </c>
      <c r="H10" s="5" t="s">
        <v>1700</v>
      </c>
      <c r="I10" s="5" t="s">
        <v>1677</v>
      </c>
      <c r="J10" s="5" t="s">
        <v>1678</v>
      </c>
      <c r="K10" s="5" t="s">
        <v>1679</v>
      </c>
      <c r="L10" s="5" t="s">
        <v>1680</v>
      </c>
      <c r="M10" s="5" t="s">
        <v>1681</v>
      </c>
      <c r="N10" s="5" t="s">
        <v>1682</v>
      </c>
      <c r="O10" s="5" t="s">
        <v>1680</v>
      </c>
      <c r="P10" s="6">
        <v>58856</v>
      </c>
      <c r="Q10" s="6">
        <v>58856</v>
      </c>
      <c r="R10" s="6">
        <v>0</v>
      </c>
      <c r="S10" s="6">
        <v>0</v>
      </c>
      <c r="T10" s="6">
        <v>0</v>
      </c>
    </row>
    <row r="11" spans="1:20">
      <c r="A11" s="5" t="s">
        <v>1672</v>
      </c>
      <c r="B11" s="5" t="s">
        <v>1673</v>
      </c>
      <c r="C11" s="5" t="s">
        <v>1674</v>
      </c>
      <c r="D11" s="5" t="s">
        <v>2</v>
      </c>
      <c r="E11" s="5" t="s">
        <v>1701</v>
      </c>
      <c r="F11" s="5" t="s">
        <v>1702</v>
      </c>
      <c r="G11" s="5" t="s">
        <v>1701</v>
      </c>
      <c r="H11" s="5" t="s">
        <v>1702</v>
      </c>
      <c r="I11" s="5" t="s">
        <v>1677</v>
      </c>
      <c r="J11" s="5" t="s">
        <v>1678</v>
      </c>
      <c r="K11" s="5" t="s">
        <v>1679</v>
      </c>
      <c r="L11" s="5" t="s">
        <v>1680</v>
      </c>
      <c r="M11" s="5" t="s">
        <v>1681</v>
      </c>
      <c r="N11" s="5" t="s">
        <v>1682</v>
      </c>
      <c r="O11" s="5" t="s">
        <v>1680</v>
      </c>
      <c r="P11" s="6">
        <v>58856</v>
      </c>
      <c r="Q11" s="6">
        <v>58856</v>
      </c>
      <c r="R11" s="6">
        <v>0</v>
      </c>
      <c r="S11" s="6">
        <v>0</v>
      </c>
      <c r="T11" s="6">
        <v>0</v>
      </c>
    </row>
    <row r="12" spans="1:20">
      <c r="A12" s="5" t="s">
        <v>1672</v>
      </c>
      <c r="B12" s="5" t="s">
        <v>1673</v>
      </c>
      <c r="C12" s="5" t="s">
        <v>1674</v>
      </c>
      <c r="D12" s="5" t="s">
        <v>2</v>
      </c>
      <c r="E12" s="5" t="s">
        <v>1703</v>
      </c>
      <c r="F12" s="5" t="s">
        <v>1704</v>
      </c>
      <c r="G12" s="5" t="s">
        <v>1705</v>
      </c>
      <c r="H12" s="5" t="s">
        <v>1706</v>
      </c>
      <c r="I12" s="5" t="s">
        <v>1677</v>
      </c>
      <c r="J12" s="5" t="s">
        <v>1678</v>
      </c>
      <c r="K12" s="5" t="s">
        <v>1679</v>
      </c>
      <c r="L12" s="5" t="s">
        <v>1680</v>
      </c>
      <c r="M12" s="5" t="s">
        <v>1681</v>
      </c>
      <c r="N12" s="5" t="s">
        <v>1682</v>
      </c>
      <c r="O12" s="5" t="s">
        <v>1680</v>
      </c>
      <c r="P12" s="6">
        <v>58856</v>
      </c>
      <c r="Q12" s="6">
        <v>58856</v>
      </c>
      <c r="R12" s="6">
        <v>0</v>
      </c>
      <c r="S12" s="6">
        <v>0</v>
      </c>
      <c r="T12" s="6">
        <v>0</v>
      </c>
    </row>
    <row r="13" spans="1:20">
      <c r="A13" s="5" t="s">
        <v>1672</v>
      </c>
      <c r="B13" s="5" t="s">
        <v>1673</v>
      </c>
      <c r="C13" s="5" t="s">
        <v>1674</v>
      </c>
      <c r="D13" s="5" t="s">
        <v>2</v>
      </c>
      <c r="E13" s="5" t="s">
        <v>1707</v>
      </c>
      <c r="F13" s="5" t="s">
        <v>1708</v>
      </c>
      <c r="G13" s="5" t="s">
        <v>1707</v>
      </c>
      <c r="H13" s="5" t="s">
        <v>1708</v>
      </c>
      <c r="I13" s="5" t="s">
        <v>1677</v>
      </c>
      <c r="J13" s="5" t="s">
        <v>1678</v>
      </c>
      <c r="K13" s="5" t="s">
        <v>1679</v>
      </c>
      <c r="L13" s="5" t="s">
        <v>1680</v>
      </c>
      <c r="M13" s="5" t="s">
        <v>1681</v>
      </c>
      <c r="N13" s="5" t="s">
        <v>1682</v>
      </c>
      <c r="O13" s="5" t="s">
        <v>1680</v>
      </c>
      <c r="P13" s="6">
        <v>58856</v>
      </c>
      <c r="Q13" s="6">
        <v>58856</v>
      </c>
      <c r="R13" s="6">
        <v>0</v>
      </c>
      <c r="S13" s="6">
        <v>0</v>
      </c>
      <c r="T13" s="6">
        <v>0</v>
      </c>
    </row>
    <row r="14" spans="1:20">
      <c r="A14" s="5" t="s">
        <v>1672</v>
      </c>
      <c r="B14" s="5" t="s">
        <v>1673</v>
      </c>
      <c r="C14" s="5" t="s">
        <v>1674</v>
      </c>
      <c r="D14" s="5" t="s">
        <v>2</v>
      </c>
      <c r="E14" s="5" t="s">
        <v>1709</v>
      </c>
      <c r="F14" s="5" t="s">
        <v>1710</v>
      </c>
      <c r="G14" s="5" t="s">
        <v>1709</v>
      </c>
      <c r="H14" s="5" t="s">
        <v>1710</v>
      </c>
      <c r="I14" s="5" t="s">
        <v>1677</v>
      </c>
      <c r="J14" s="5" t="s">
        <v>1678</v>
      </c>
      <c r="K14" s="5" t="s">
        <v>1679</v>
      </c>
      <c r="L14" s="5" t="s">
        <v>1680</v>
      </c>
      <c r="M14" s="5" t="s">
        <v>1681</v>
      </c>
      <c r="N14" s="5" t="s">
        <v>1682</v>
      </c>
      <c r="O14" s="5" t="s">
        <v>1680</v>
      </c>
      <c r="P14" s="6">
        <v>58856</v>
      </c>
      <c r="Q14" s="6">
        <v>58856</v>
      </c>
      <c r="R14" s="6">
        <v>0</v>
      </c>
      <c r="S14" s="6">
        <v>0</v>
      </c>
      <c r="T14" s="6">
        <v>0</v>
      </c>
    </row>
    <row r="15" spans="1:20">
      <c r="A15" s="5" t="s">
        <v>1672</v>
      </c>
      <c r="B15" s="5" t="s">
        <v>1673</v>
      </c>
      <c r="C15" s="5" t="s">
        <v>1674</v>
      </c>
      <c r="D15" s="5" t="s">
        <v>2</v>
      </c>
      <c r="E15" s="5" t="s">
        <v>1711</v>
      </c>
      <c r="F15" s="5" t="s">
        <v>1712</v>
      </c>
      <c r="G15" s="5" t="s">
        <v>1711</v>
      </c>
      <c r="H15" s="5" t="s">
        <v>1712</v>
      </c>
      <c r="I15" s="5" t="s">
        <v>1677</v>
      </c>
      <c r="J15" s="5" t="s">
        <v>1678</v>
      </c>
      <c r="K15" s="5" t="s">
        <v>1679</v>
      </c>
      <c r="L15" s="5" t="s">
        <v>1680</v>
      </c>
      <c r="M15" s="5" t="s">
        <v>1681</v>
      </c>
      <c r="N15" s="5" t="s">
        <v>1682</v>
      </c>
      <c r="O15" s="5" t="s">
        <v>1680</v>
      </c>
      <c r="P15" s="6">
        <v>58856</v>
      </c>
      <c r="Q15" s="6">
        <v>58856</v>
      </c>
      <c r="R15" s="6">
        <v>0</v>
      </c>
      <c r="S15" s="6">
        <v>0</v>
      </c>
      <c r="T15" s="6">
        <v>0</v>
      </c>
    </row>
    <row r="16" spans="1:20">
      <c r="A16" s="5" t="s">
        <v>1672</v>
      </c>
      <c r="B16" s="5" t="s">
        <v>1673</v>
      </c>
      <c r="C16" s="5" t="s">
        <v>1674</v>
      </c>
      <c r="D16" s="5" t="s">
        <v>2</v>
      </c>
      <c r="E16" s="5" t="s">
        <v>1713</v>
      </c>
      <c r="F16" s="5" t="s">
        <v>1714</v>
      </c>
      <c r="G16" s="5" t="s">
        <v>1713</v>
      </c>
      <c r="H16" s="5" t="s">
        <v>1714</v>
      </c>
      <c r="I16" s="5" t="s">
        <v>1677</v>
      </c>
      <c r="J16" s="5" t="s">
        <v>1678</v>
      </c>
      <c r="K16" s="5" t="s">
        <v>1679</v>
      </c>
      <c r="L16" s="5" t="s">
        <v>1680</v>
      </c>
      <c r="M16" s="5" t="s">
        <v>1681</v>
      </c>
      <c r="N16" s="5" t="s">
        <v>1682</v>
      </c>
      <c r="O16" s="5" t="s">
        <v>1680</v>
      </c>
      <c r="P16" s="6">
        <v>58856</v>
      </c>
      <c r="Q16" s="6">
        <v>58856</v>
      </c>
      <c r="R16" s="6">
        <v>0</v>
      </c>
      <c r="S16" s="6">
        <v>0</v>
      </c>
      <c r="T16" s="6">
        <v>0</v>
      </c>
    </row>
    <row r="17" spans="1:20">
      <c r="A17" s="5" t="s">
        <v>1672</v>
      </c>
      <c r="B17" s="5" t="s">
        <v>1673</v>
      </c>
      <c r="C17" s="5" t="s">
        <v>1715</v>
      </c>
      <c r="D17" s="5" t="s">
        <v>325</v>
      </c>
      <c r="E17" s="5" t="s">
        <v>1716</v>
      </c>
      <c r="F17" s="5" t="s">
        <v>1717</v>
      </c>
      <c r="G17" s="5" t="s">
        <v>1716</v>
      </c>
      <c r="H17" s="5" t="s">
        <v>1717</v>
      </c>
      <c r="I17" s="5" t="s">
        <v>1677</v>
      </c>
      <c r="J17" s="5" t="s">
        <v>1678</v>
      </c>
      <c r="K17" s="5" t="s">
        <v>1679</v>
      </c>
      <c r="L17" s="5" t="s">
        <v>1680</v>
      </c>
      <c r="M17" s="5" t="s">
        <v>1681</v>
      </c>
      <c r="N17" s="5" t="s">
        <v>1682</v>
      </c>
      <c r="O17" s="5" t="s">
        <v>1680</v>
      </c>
      <c r="P17" s="6">
        <v>28090</v>
      </c>
      <c r="Q17" s="6">
        <v>28090</v>
      </c>
      <c r="R17" s="6">
        <v>0</v>
      </c>
      <c r="S17" s="6">
        <v>0</v>
      </c>
      <c r="T17" s="6">
        <v>0</v>
      </c>
    </row>
    <row r="18" spans="1:20">
      <c r="A18" s="5" t="s">
        <v>1672</v>
      </c>
      <c r="B18" s="5" t="s">
        <v>1673</v>
      </c>
      <c r="C18" s="5" t="s">
        <v>1715</v>
      </c>
      <c r="D18" s="5" t="s">
        <v>325</v>
      </c>
      <c r="E18" s="5" t="s">
        <v>1718</v>
      </c>
      <c r="F18" s="5" t="s">
        <v>1719</v>
      </c>
      <c r="G18" s="5" t="s">
        <v>1718</v>
      </c>
      <c r="H18" s="5" t="s">
        <v>1719</v>
      </c>
      <c r="I18" s="5" t="s">
        <v>1677</v>
      </c>
      <c r="J18" s="5" t="s">
        <v>1678</v>
      </c>
      <c r="K18" s="5" t="s">
        <v>1679</v>
      </c>
      <c r="L18" s="5" t="s">
        <v>1680</v>
      </c>
      <c r="M18" s="5" t="s">
        <v>1681</v>
      </c>
      <c r="N18" s="5" t="s">
        <v>1682</v>
      </c>
      <c r="O18" s="5" t="s">
        <v>1680</v>
      </c>
      <c r="P18" s="6">
        <v>28090</v>
      </c>
      <c r="Q18" s="6">
        <v>28090</v>
      </c>
      <c r="R18" s="6">
        <v>0</v>
      </c>
      <c r="S18" s="6">
        <v>0</v>
      </c>
      <c r="T18" s="6">
        <v>0</v>
      </c>
    </row>
    <row r="19" spans="1:20">
      <c r="A19" s="5" t="s">
        <v>1672</v>
      </c>
      <c r="B19" s="5" t="s">
        <v>1673</v>
      </c>
      <c r="C19" s="5" t="s">
        <v>1715</v>
      </c>
      <c r="D19" s="5" t="s">
        <v>325</v>
      </c>
      <c r="E19" s="5" t="s">
        <v>1720</v>
      </c>
      <c r="F19" s="5" t="s">
        <v>1721</v>
      </c>
      <c r="G19" s="5" t="s">
        <v>1720</v>
      </c>
      <c r="H19" s="5" t="s">
        <v>1721</v>
      </c>
      <c r="I19" s="5" t="s">
        <v>1677</v>
      </c>
      <c r="J19" s="5" t="s">
        <v>1678</v>
      </c>
      <c r="K19" s="5" t="s">
        <v>1679</v>
      </c>
      <c r="L19" s="5" t="s">
        <v>1680</v>
      </c>
      <c r="M19" s="5" t="s">
        <v>1681</v>
      </c>
      <c r="N19" s="5" t="s">
        <v>1682</v>
      </c>
      <c r="O19" s="5" t="s">
        <v>1680</v>
      </c>
      <c r="P19" s="6">
        <v>28090</v>
      </c>
      <c r="Q19" s="6">
        <v>28090</v>
      </c>
      <c r="R19" s="6">
        <v>0</v>
      </c>
      <c r="S19" s="6">
        <v>0</v>
      </c>
      <c r="T19" s="6">
        <v>0</v>
      </c>
    </row>
    <row r="20" spans="1:20">
      <c r="A20" s="5" t="s">
        <v>1672</v>
      </c>
      <c r="B20" s="5" t="s">
        <v>1673</v>
      </c>
      <c r="C20" s="5" t="s">
        <v>1715</v>
      </c>
      <c r="D20" s="5" t="s">
        <v>325</v>
      </c>
      <c r="E20" s="5" t="s">
        <v>1722</v>
      </c>
      <c r="F20" s="5" t="s">
        <v>1723</v>
      </c>
      <c r="G20" s="5" t="s">
        <v>1724</v>
      </c>
      <c r="H20" s="5" t="s">
        <v>1725</v>
      </c>
      <c r="I20" s="5" t="s">
        <v>1677</v>
      </c>
      <c r="J20" s="5" t="s">
        <v>1678</v>
      </c>
      <c r="K20" s="5" t="s">
        <v>1679</v>
      </c>
      <c r="L20" s="5" t="s">
        <v>1680</v>
      </c>
      <c r="M20" s="5" t="s">
        <v>1681</v>
      </c>
      <c r="N20" s="5" t="s">
        <v>1682</v>
      </c>
      <c r="O20" s="5" t="s">
        <v>1680</v>
      </c>
      <c r="P20" s="6">
        <v>28090</v>
      </c>
      <c r="Q20" s="6">
        <v>28090</v>
      </c>
      <c r="R20" s="6">
        <v>0</v>
      </c>
      <c r="S20" s="6">
        <v>0</v>
      </c>
      <c r="T20" s="6">
        <v>0</v>
      </c>
    </row>
    <row r="21" spans="1:20">
      <c r="A21" s="5" t="s">
        <v>1672</v>
      </c>
      <c r="B21" s="5" t="s">
        <v>1673</v>
      </c>
      <c r="C21" s="5" t="s">
        <v>1715</v>
      </c>
      <c r="D21" s="5" t="s">
        <v>325</v>
      </c>
      <c r="E21" s="5" t="s">
        <v>1726</v>
      </c>
      <c r="F21" s="5" t="s">
        <v>1727</v>
      </c>
      <c r="G21" s="5" t="s">
        <v>1726</v>
      </c>
      <c r="H21" s="5" t="s">
        <v>1727</v>
      </c>
      <c r="I21" s="5" t="s">
        <v>1677</v>
      </c>
      <c r="J21" s="5" t="s">
        <v>1678</v>
      </c>
      <c r="K21" s="5" t="s">
        <v>1679</v>
      </c>
      <c r="L21" s="5" t="s">
        <v>1680</v>
      </c>
      <c r="M21" s="5" t="s">
        <v>1681</v>
      </c>
      <c r="N21" s="5" t="s">
        <v>1682</v>
      </c>
      <c r="O21" s="5" t="s">
        <v>1680</v>
      </c>
      <c r="P21" s="6">
        <v>28090</v>
      </c>
      <c r="Q21" s="6">
        <v>28090</v>
      </c>
      <c r="R21" s="6">
        <v>0</v>
      </c>
      <c r="S21" s="6">
        <v>0</v>
      </c>
      <c r="T21" s="6">
        <v>0</v>
      </c>
    </row>
    <row r="22" spans="1:20">
      <c r="A22" s="5" t="s">
        <v>1672</v>
      </c>
      <c r="B22" s="5" t="s">
        <v>1673</v>
      </c>
      <c r="C22" s="5" t="s">
        <v>1715</v>
      </c>
      <c r="D22" s="5" t="s">
        <v>325</v>
      </c>
      <c r="E22" s="5" t="s">
        <v>1728</v>
      </c>
      <c r="F22" s="5" t="s">
        <v>1729</v>
      </c>
      <c r="G22" s="5" t="s">
        <v>1728</v>
      </c>
      <c r="H22" s="5" t="s">
        <v>1729</v>
      </c>
      <c r="I22" s="5" t="s">
        <v>1677</v>
      </c>
      <c r="J22" s="5" t="s">
        <v>1678</v>
      </c>
      <c r="K22" s="5" t="s">
        <v>1679</v>
      </c>
      <c r="L22" s="5" t="s">
        <v>1680</v>
      </c>
      <c r="M22" s="5" t="s">
        <v>1681</v>
      </c>
      <c r="N22" s="5" t="s">
        <v>1682</v>
      </c>
      <c r="O22" s="5" t="s">
        <v>1680</v>
      </c>
      <c r="P22" s="6">
        <v>28090</v>
      </c>
      <c r="Q22" s="6">
        <v>28090</v>
      </c>
      <c r="R22" s="6">
        <v>0</v>
      </c>
      <c r="S22" s="6">
        <v>0</v>
      </c>
      <c r="T22" s="6">
        <v>0</v>
      </c>
    </row>
    <row r="23" spans="1:20">
      <c r="A23" s="5" t="s">
        <v>1672</v>
      </c>
      <c r="B23" s="5" t="s">
        <v>1673</v>
      </c>
      <c r="C23" s="5" t="s">
        <v>1715</v>
      </c>
      <c r="D23" s="5" t="s">
        <v>325</v>
      </c>
      <c r="E23" s="5" t="s">
        <v>1730</v>
      </c>
      <c r="F23" s="5" t="s">
        <v>1731</v>
      </c>
      <c r="G23" s="5" t="s">
        <v>1730</v>
      </c>
      <c r="H23" s="5" t="s">
        <v>1731</v>
      </c>
      <c r="I23" s="5" t="s">
        <v>1677</v>
      </c>
      <c r="J23" s="5" t="s">
        <v>1678</v>
      </c>
      <c r="K23" s="5" t="s">
        <v>1679</v>
      </c>
      <c r="L23" s="5" t="s">
        <v>1680</v>
      </c>
      <c r="M23" s="5" t="s">
        <v>1681</v>
      </c>
      <c r="N23" s="5" t="s">
        <v>1682</v>
      </c>
      <c r="O23" s="5" t="s">
        <v>1680</v>
      </c>
      <c r="P23" s="6">
        <v>28090</v>
      </c>
      <c r="Q23" s="6">
        <v>28090</v>
      </c>
      <c r="R23" s="6">
        <v>0</v>
      </c>
      <c r="S23" s="6">
        <v>0</v>
      </c>
      <c r="T23" s="6">
        <v>0</v>
      </c>
    </row>
    <row r="24" spans="1:20">
      <c r="A24" s="5" t="s">
        <v>1672</v>
      </c>
      <c r="B24" s="5" t="s">
        <v>1673</v>
      </c>
      <c r="C24" s="5" t="s">
        <v>1715</v>
      </c>
      <c r="D24" s="5" t="s">
        <v>325</v>
      </c>
      <c r="E24" s="5" t="s">
        <v>1732</v>
      </c>
      <c r="F24" s="5" t="s">
        <v>1733</v>
      </c>
      <c r="G24" s="5" t="s">
        <v>1732</v>
      </c>
      <c r="H24" s="5" t="s">
        <v>1733</v>
      </c>
      <c r="I24" s="5" t="s">
        <v>1677</v>
      </c>
      <c r="J24" s="5" t="s">
        <v>1678</v>
      </c>
      <c r="K24" s="5" t="s">
        <v>1679</v>
      </c>
      <c r="L24" s="5" t="s">
        <v>1680</v>
      </c>
      <c r="M24" s="5" t="s">
        <v>1681</v>
      </c>
      <c r="N24" s="5" t="s">
        <v>1682</v>
      </c>
      <c r="O24" s="5" t="s">
        <v>1680</v>
      </c>
      <c r="P24" s="6">
        <v>28090</v>
      </c>
      <c r="Q24" s="6">
        <v>28090</v>
      </c>
      <c r="R24" s="6">
        <v>0</v>
      </c>
      <c r="S24" s="6">
        <v>0</v>
      </c>
      <c r="T24" s="6">
        <v>0</v>
      </c>
    </row>
    <row r="25" spans="1:20">
      <c r="A25" s="5" t="s">
        <v>1672</v>
      </c>
      <c r="B25" s="5" t="s">
        <v>1673</v>
      </c>
      <c r="C25" s="5" t="s">
        <v>1715</v>
      </c>
      <c r="D25" s="5" t="s">
        <v>325</v>
      </c>
      <c r="E25" s="5" t="s">
        <v>1734</v>
      </c>
      <c r="F25" s="5" t="s">
        <v>1735</v>
      </c>
      <c r="G25" s="5" t="s">
        <v>1734</v>
      </c>
      <c r="H25" s="5" t="s">
        <v>1735</v>
      </c>
      <c r="I25" s="5" t="s">
        <v>1677</v>
      </c>
      <c r="J25" s="5" t="s">
        <v>1678</v>
      </c>
      <c r="K25" s="5" t="s">
        <v>1679</v>
      </c>
      <c r="L25" s="5" t="s">
        <v>1680</v>
      </c>
      <c r="M25" s="5" t="s">
        <v>1681</v>
      </c>
      <c r="N25" s="5" t="s">
        <v>1682</v>
      </c>
      <c r="O25" s="5" t="s">
        <v>1680</v>
      </c>
      <c r="P25" s="6">
        <v>28090</v>
      </c>
      <c r="Q25" s="6">
        <v>28090</v>
      </c>
      <c r="R25" s="6">
        <v>0</v>
      </c>
      <c r="S25" s="6">
        <v>0</v>
      </c>
      <c r="T25" s="6">
        <v>0</v>
      </c>
    </row>
    <row r="26" spans="1:20">
      <c r="A26" s="5" t="s">
        <v>1672</v>
      </c>
      <c r="B26" s="5" t="s">
        <v>1673</v>
      </c>
      <c r="C26" s="5" t="s">
        <v>1715</v>
      </c>
      <c r="D26" s="5" t="s">
        <v>325</v>
      </c>
      <c r="E26" s="5" t="s">
        <v>1736</v>
      </c>
      <c r="F26" s="5" t="s">
        <v>1737</v>
      </c>
      <c r="G26" s="5" t="s">
        <v>1738</v>
      </c>
      <c r="H26" s="5" t="s">
        <v>1739</v>
      </c>
      <c r="I26" s="5" t="s">
        <v>1677</v>
      </c>
      <c r="J26" s="5" t="s">
        <v>1678</v>
      </c>
      <c r="K26" s="5" t="s">
        <v>1679</v>
      </c>
      <c r="L26" s="5" t="s">
        <v>1680</v>
      </c>
      <c r="M26" s="5" t="s">
        <v>1681</v>
      </c>
      <c r="N26" s="5" t="s">
        <v>1682</v>
      </c>
      <c r="O26" s="5" t="s">
        <v>1680</v>
      </c>
      <c r="P26" s="6">
        <v>28090</v>
      </c>
      <c r="Q26" s="6">
        <v>28090</v>
      </c>
      <c r="R26" s="6">
        <v>0</v>
      </c>
      <c r="S26" s="6">
        <v>0</v>
      </c>
      <c r="T26" s="6">
        <v>0</v>
      </c>
    </row>
    <row r="27" spans="1:20">
      <c r="A27" s="5" t="s">
        <v>1672</v>
      </c>
      <c r="B27" s="5" t="s">
        <v>1673</v>
      </c>
      <c r="C27" s="5" t="s">
        <v>1715</v>
      </c>
      <c r="D27" s="5" t="s">
        <v>325</v>
      </c>
      <c r="E27" s="5" t="s">
        <v>1740</v>
      </c>
      <c r="F27" s="5" t="s">
        <v>1741</v>
      </c>
      <c r="G27" s="5" t="s">
        <v>1740</v>
      </c>
      <c r="H27" s="5" t="s">
        <v>1741</v>
      </c>
      <c r="I27" s="5" t="s">
        <v>1677</v>
      </c>
      <c r="J27" s="5" t="s">
        <v>1678</v>
      </c>
      <c r="K27" s="5" t="s">
        <v>1679</v>
      </c>
      <c r="L27" s="5" t="s">
        <v>1680</v>
      </c>
      <c r="M27" s="5" t="s">
        <v>1681</v>
      </c>
      <c r="N27" s="5" t="s">
        <v>1682</v>
      </c>
      <c r="O27" s="5" t="s">
        <v>1680</v>
      </c>
      <c r="P27" s="6">
        <v>28090</v>
      </c>
      <c r="Q27" s="6">
        <v>28090</v>
      </c>
      <c r="R27" s="6">
        <v>0</v>
      </c>
      <c r="S27" s="6">
        <v>0</v>
      </c>
      <c r="T27" s="6">
        <v>0</v>
      </c>
    </row>
    <row r="28" spans="1:20">
      <c r="A28" s="5" t="s">
        <v>1672</v>
      </c>
      <c r="B28" s="5" t="s">
        <v>1673</v>
      </c>
      <c r="C28" s="5" t="s">
        <v>1715</v>
      </c>
      <c r="D28" s="5" t="s">
        <v>325</v>
      </c>
      <c r="E28" s="5" t="s">
        <v>1742</v>
      </c>
      <c r="F28" s="5" t="s">
        <v>1743</v>
      </c>
      <c r="G28" s="5" t="s">
        <v>1744</v>
      </c>
      <c r="H28" s="5" t="s">
        <v>1745</v>
      </c>
      <c r="I28" s="5" t="s">
        <v>1677</v>
      </c>
      <c r="J28" s="5" t="s">
        <v>1678</v>
      </c>
      <c r="K28" s="5" t="s">
        <v>1679</v>
      </c>
      <c r="L28" s="5" t="s">
        <v>1680</v>
      </c>
      <c r="M28" s="5" t="s">
        <v>1681</v>
      </c>
      <c r="N28" s="5" t="s">
        <v>1682</v>
      </c>
      <c r="O28" s="5" t="s">
        <v>1680</v>
      </c>
      <c r="P28" s="6">
        <v>28090</v>
      </c>
      <c r="Q28" s="6">
        <v>28090</v>
      </c>
      <c r="R28" s="6">
        <v>0</v>
      </c>
      <c r="S28" s="6">
        <v>0</v>
      </c>
      <c r="T28" s="6">
        <v>0</v>
      </c>
    </row>
    <row r="29" spans="1:20">
      <c r="A29" s="5" t="s">
        <v>1672</v>
      </c>
      <c r="B29" s="5" t="s">
        <v>1673</v>
      </c>
      <c r="C29" s="5" t="s">
        <v>1715</v>
      </c>
      <c r="D29" s="5" t="s">
        <v>325</v>
      </c>
      <c r="E29" s="5" t="s">
        <v>1746</v>
      </c>
      <c r="F29" s="5" t="s">
        <v>1747</v>
      </c>
      <c r="G29" s="5" t="s">
        <v>1748</v>
      </c>
      <c r="H29" s="5" t="s">
        <v>1749</v>
      </c>
      <c r="I29" s="5" t="s">
        <v>1677</v>
      </c>
      <c r="J29" s="5" t="s">
        <v>1678</v>
      </c>
      <c r="K29" s="5" t="s">
        <v>1679</v>
      </c>
      <c r="L29" s="5" t="s">
        <v>1680</v>
      </c>
      <c r="M29" s="5" t="s">
        <v>1681</v>
      </c>
      <c r="N29" s="5" t="s">
        <v>1682</v>
      </c>
      <c r="O29" s="5" t="s">
        <v>1680</v>
      </c>
      <c r="P29" s="6">
        <v>28090</v>
      </c>
      <c r="Q29" s="6">
        <v>28090</v>
      </c>
      <c r="R29" s="6">
        <v>0</v>
      </c>
      <c r="S29" s="6">
        <v>0</v>
      </c>
      <c r="T29" s="6">
        <v>0</v>
      </c>
    </row>
    <row r="30" spans="1:20">
      <c r="A30" s="5" t="s">
        <v>1672</v>
      </c>
      <c r="B30" s="5" t="s">
        <v>1673</v>
      </c>
      <c r="C30" s="5" t="s">
        <v>1715</v>
      </c>
      <c r="D30" s="5" t="s">
        <v>325</v>
      </c>
      <c r="E30" s="5" t="s">
        <v>1750</v>
      </c>
      <c r="F30" s="5" t="s">
        <v>1751</v>
      </c>
      <c r="G30" s="5" t="s">
        <v>1752</v>
      </c>
      <c r="H30" s="5" t="s">
        <v>1753</v>
      </c>
      <c r="I30" s="5" t="s">
        <v>1677</v>
      </c>
      <c r="J30" s="5" t="s">
        <v>1678</v>
      </c>
      <c r="K30" s="5" t="s">
        <v>1679</v>
      </c>
      <c r="L30" s="5" t="s">
        <v>1680</v>
      </c>
      <c r="M30" s="5" t="s">
        <v>1681</v>
      </c>
      <c r="N30" s="5" t="s">
        <v>1682</v>
      </c>
      <c r="O30" s="5" t="s">
        <v>1680</v>
      </c>
      <c r="P30" s="6">
        <v>28090</v>
      </c>
      <c r="Q30" s="6">
        <v>28090</v>
      </c>
      <c r="R30" s="6">
        <v>0</v>
      </c>
      <c r="S30" s="6">
        <v>0</v>
      </c>
      <c r="T30" s="6">
        <v>0</v>
      </c>
    </row>
    <row r="31" spans="1:20">
      <c r="A31" s="5" t="s">
        <v>1672</v>
      </c>
      <c r="B31" s="5" t="s">
        <v>1673</v>
      </c>
      <c r="C31" s="5" t="s">
        <v>1715</v>
      </c>
      <c r="D31" s="5" t="s">
        <v>325</v>
      </c>
      <c r="E31" s="5" t="s">
        <v>1754</v>
      </c>
      <c r="F31" s="5" t="s">
        <v>1755</v>
      </c>
      <c r="G31" s="5" t="s">
        <v>1756</v>
      </c>
      <c r="H31" s="5" t="s">
        <v>1757</v>
      </c>
      <c r="I31" s="5" t="s">
        <v>1677</v>
      </c>
      <c r="J31" s="5" t="s">
        <v>1678</v>
      </c>
      <c r="K31" s="5" t="s">
        <v>1679</v>
      </c>
      <c r="L31" s="5" t="s">
        <v>1680</v>
      </c>
      <c r="M31" s="5" t="s">
        <v>1681</v>
      </c>
      <c r="N31" s="5" t="s">
        <v>1682</v>
      </c>
      <c r="O31" s="5" t="s">
        <v>1680</v>
      </c>
      <c r="P31" s="6">
        <v>28090</v>
      </c>
      <c r="Q31" s="6">
        <v>28090</v>
      </c>
      <c r="R31" s="6">
        <v>0</v>
      </c>
      <c r="S31" s="6">
        <v>0</v>
      </c>
      <c r="T31" s="6">
        <v>0</v>
      </c>
    </row>
    <row r="32" spans="1:20">
      <c r="A32" s="5" t="s">
        <v>1672</v>
      </c>
      <c r="B32" s="5" t="s">
        <v>1673</v>
      </c>
      <c r="C32" s="5" t="s">
        <v>1715</v>
      </c>
      <c r="D32" s="5" t="s">
        <v>325</v>
      </c>
      <c r="E32" s="5" t="s">
        <v>1758</v>
      </c>
      <c r="F32" s="5" t="s">
        <v>1759</v>
      </c>
      <c r="G32" s="5" t="s">
        <v>1758</v>
      </c>
      <c r="H32" s="5" t="s">
        <v>1759</v>
      </c>
      <c r="I32" s="5" t="s">
        <v>1677</v>
      </c>
      <c r="J32" s="5" t="s">
        <v>1678</v>
      </c>
      <c r="K32" s="5" t="s">
        <v>1679</v>
      </c>
      <c r="L32" s="5" t="s">
        <v>1680</v>
      </c>
      <c r="M32" s="5" t="s">
        <v>1681</v>
      </c>
      <c r="N32" s="5" t="s">
        <v>1682</v>
      </c>
      <c r="O32" s="5" t="s">
        <v>1680</v>
      </c>
      <c r="P32" s="6">
        <v>28090</v>
      </c>
      <c r="Q32" s="6">
        <v>28090</v>
      </c>
      <c r="R32" s="6">
        <v>0</v>
      </c>
      <c r="S32" s="6">
        <v>0</v>
      </c>
      <c r="T32" s="6">
        <v>0</v>
      </c>
    </row>
    <row r="33" spans="1:20">
      <c r="A33" s="5" t="s">
        <v>1672</v>
      </c>
      <c r="B33" s="5" t="s">
        <v>1673</v>
      </c>
      <c r="C33" s="5" t="s">
        <v>1715</v>
      </c>
      <c r="D33" s="5" t="s">
        <v>325</v>
      </c>
      <c r="E33" s="5" t="s">
        <v>1760</v>
      </c>
      <c r="F33" s="5" t="s">
        <v>1761</v>
      </c>
      <c r="G33" s="5" t="s">
        <v>1760</v>
      </c>
      <c r="H33" s="5" t="s">
        <v>1761</v>
      </c>
      <c r="I33" s="5" t="s">
        <v>1677</v>
      </c>
      <c r="J33" s="5" t="s">
        <v>1678</v>
      </c>
      <c r="K33" s="5" t="s">
        <v>1679</v>
      </c>
      <c r="L33" s="5" t="s">
        <v>1680</v>
      </c>
      <c r="M33" s="5" t="s">
        <v>1681</v>
      </c>
      <c r="N33" s="5" t="s">
        <v>1682</v>
      </c>
      <c r="O33" s="5" t="s">
        <v>1680</v>
      </c>
      <c r="P33" s="6">
        <v>28090</v>
      </c>
      <c r="Q33" s="6">
        <v>28090</v>
      </c>
      <c r="R33" s="6">
        <v>0</v>
      </c>
      <c r="S33" s="6">
        <v>0</v>
      </c>
      <c r="T33" s="6">
        <v>0</v>
      </c>
    </row>
    <row r="34" spans="1:20">
      <c r="A34" s="5" t="s">
        <v>1672</v>
      </c>
      <c r="B34" s="5" t="s">
        <v>1673</v>
      </c>
      <c r="C34" s="5" t="s">
        <v>1715</v>
      </c>
      <c r="D34" s="5" t="s">
        <v>325</v>
      </c>
      <c r="E34" s="5" t="s">
        <v>1762</v>
      </c>
      <c r="F34" s="5" t="s">
        <v>1763</v>
      </c>
      <c r="G34" s="5" t="s">
        <v>1764</v>
      </c>
      <c r="H34" s="5" t="s">
        <v>1765</v>
      </c>
      <c r="I34" s="5" t="s">
        <v>1677</v>
      </c>
      <c r="J34" s="5" t="s">
        <v>1678</v>
      </c>
      <c r="K34" s="5" t="s">
        <v>1679</v>
      </c>
      <c r="L34" s="5" t="s">
        <v>1680</v>
      </c>
      <c r="M34" s="5" t="s">
        <v>1681</v>
      </c>
      <c r="N34" s="5" t="s">
        <v>1682</v>
      </c>
      <c r="O34" s="5" t="s">
        <v>1680</v>
      </c>
      <c r="P34" s="6">
        <v>28090</v>
      </c>
      <c r="Q34" s="6">
        <v>28090</v>
      </c>
      <c r="R34" s="6">
        <v>0</v>
      </c>
      <c r="S34" s="6">
        <v>0</v>
      </c>
      <c r="T34" s="6">
        <v>0</v>
      </c>
    </row>
    <row r="35" spans="1:20">
      <c r="A35" s="5" t="s">
        <v>1672</v>
      </c>
      <c r="B35" s="5" t="s">
        <v>1673</v>
      </c>
      <c r="C35" s="5" t="s">
        <v>1715</v>
      </c>
      <c r="D35" s="5" t="s">
        <v>325</v>
      </c>
      <c r="E35" s="5" t="s">
        <v>1766</v>
      </c>
      <c r="F35" s="5" t="s">
        <v>1767</v>
      </c>
      <c r="G35" s="5" t="s">
        <v>1766</v>
      </c>
      <c r="H35" s="5" t="s">
        <v>1767</v>
      </c>
      <c r="I35" s="5" t="s">
        <v>1677</v>
      </c>
      <c r="J35" s="5" t="s">
        <v>1678</v>
      </c>
      <c r="K35" s="5" t="s">
        <v>1679</v>
      </c>
      <c r="L35" s="5" t="s">
        <v>1680</v>
      </c>
      <c r="M35" s="5" t="s">
        <v>1681</v>
      </c>
      <c r="N35" s="5" t="s">
        <v>1682</v>
      </c>
      <c r="O35" s="5" t="s">
        <v>1680</v>
      </c>
      <c r="P35" s="6">
        <v>28090</v>
      </c>
      <c r="Q35" s="6">
        <v>28090</v>
      </c>
      <c r="R35" s="6">
        <v>0</v>
      </c>
      <c r="S35" s="6">
        <v>0</v>
      </c>
      <c r="T35" s="6">
        <v>0</v>
      </c>
    </row>
    <row r="36" spans="1:20">
      <c r="A36" s="5" t="s">
        <v>1672</v>
      </c>
      <c r="B36" s="5" t="s">
        <v>1673</v>
      </c>
      <c r="C36" s="5" t="s">
        <v>1715</v>
      </c>
      <c r="D36" s="5" t="s">
        <v>325</v>
      </c>
      <c r="E36" s="5" t="s">
        <v>1768</v>
      </c>
      <c r="F36" s="5" t="s">
        <v>1769</v>
      </c>
      <c r="G36" s="5" t="s">
        <v>1770</v>
      </c>
      <c r="H36" s="5" t="s">
        <v>1771</v>
      </c>
      <c r="I36" s="5" t="s">
        <v>1677</v>
      </c>
      <c r="J36" s="5" t="s">
        <v>1678</v>
      </c>
      <c r="K36" s="5" t="s">
        <v>1679</v>
      </c>
      <c r="L36" s="5" t="s">
        <v>1680</v>
      </c>
      <c r="M36" s="5" t="s">
        <v>1681</v>
      </c>
      <c r="N36" s="5" t="s">
        <v>1682</v>
      </c>
      <c r="O36" s="5" t="s">
        <v>1680</v>
      </c>
      <c r="P36" s="6">
        <v>28090</v>
      </c>
      <c r="Q36" s="6">
        <v>28090</v>
      </c>
      <c r="R36" s="6">
        <v>0</v>
      </c>
      <c r="S36" s="6">
        <v>0</v>
      </c>
      <c r="T36" s="6">
        <v>0</v>
      </c>
    </row>
    <row r="37" spans="1:20">
      <c r="A37" s="5" t="s">
        <v>1672</v>
      </c>
      <c r="B37" s="5" t="s">
        <v>1673</v>
      </c>
      <c r="C37" s="5" t="s">
        <v>1715</v>
      </c>
      <c r="D37" s="5" t="s">
        <v>325</v>
      </c>
      <c r="E37" s="5" t="s">
        <v>1772</v>
      </c>
      <c r="F37" s="5" t="s">
        <v>1773</v>
      </c>
      <c r="G37" s="5" t="s">
        <v>1774</v>
      </c>
      <c r="H37" s="5" t="s">
        <v>1775</v>
      </c>
      <c r="I37" s="5" t="s">
        <v>1677</v>
      </c>
      <c r="J37" s="5" t="s">
        <v>1678</v>
      </c>
      <c r="K37" s="5" t="s">
        <v>1679</v>
      </c>
      <c r="L37" s="5" t="s">
        <v>1680</v>
      </c>
      <c r="M37" s="5" t="s">
        <v>1681</v>
      </c>
      <c r="N37" s="5" t="s">
        <v>1682</v>
      </c>
      <c r="O37" s="5" t="s">
        <v>1680</v>
      </c>
      <c r="P37" s="6">
        <v>28090</v>
      </c>
      <c r="Q37" s="6">
        <v>28090</v>
      </c>
      <c r="R37" s="6">
        <v>0</v>
      </c>
      <c r="S37" s="6">
        <v>0</v>
      </c>
      <c r="T37" s="6">
        <v>0</v>
      </c>
    </row>
    <row r="38" spans="1:20">
      <c r="A38" s="5" t="s">
        <v>1672</v>
      </c>
      <c r="B38" s="5" t="s">
        <v>1673</v>
      </c>
      <c r="C38" s="5" t="s">
        <v>1715</v>
      </c>
      <c r="D38" s="5" t="s">
        <v>325</v>
      </c>
      <c r="E38" s="5" t="s">
        <v>1776</v>
      </c>
      <c r="F38" s="5" t="s">
        <v>1777</v>
      </c>
      <c r="G38" s="5" t="s">
        <v>1778</v>
      </c>
      <c r="H38" s="5" t="s">
        <v>1779</v>
      </c>
      <c r="I38" s="5" t="s">
        <v>1677</v>
      </c>
      <c r="J38" s="5" t="s">
        <v>1678</v>
      </c>
      <c r="K38" s="5" t="s">
        <v>1679</v>
      </c>
      <c r="L38" s="5" t="s">
        <v>1680</v>
      </c>
      <c r="M38" s="5" t="s">
        <v>1681</v>
      </c>
      <c r="N38" s="5" t="s">
        <v>1682</v>
      </c>
      <c r="O38" s="5" t="s">
        <v>1680</v>
      </c>
      <c r="P38" s="6">
        <v>28090</v>
      </c>
      <c r="Q38" s="6">
        <v>28090</v>
      </c>
      <c r="R38" s="6">
        <v>0</v>
      </c>
      <c r="S38" s="6">
        <v>0</v>
      </c>
      <c r="T38" s="6">
        <v>0</v>
      </c>
    </row>
    <row r="39" spans="1:20">
      <c r="A39" s="5" t="s">
        <v>1672</v>
      </c>
      <c r="B39" s="5" t="s">
        <v>1673</v>
      </c>
      <c r="C39" s="5" t="s">
        <v>1715</v>
      </c>
      <c r="D39" s="5" t="s">
        <v>325</v>
      </c>
      <c r="E39" s="5" t="s">
        <v>1780</v>
      </c>
      <c r="F39" s="5" t="s">
        <v>1781</v>
      </c>
      <c r="G39" s="5" t="s">
        <v>1780</v>
      </c>
      <c r="H39" s="5" t="s">
        <v>1781</v>
      </c>
      <c r="I39" s="5" t="s">
        <v>1677</v>
      </c>
      <c r="J39" s="5" t="s">
        <v>1678</v>
      </c>
      <c r="K39" s="5" t="s">
        <v>1679</v>
      </c>
      <c r="L39" s="5" t="s">
        <v>1680</v>
      </c>
      <c r="M39" s="5" t="s">
        <v>1681</v>
      </c>
      <c r="N39" s="5" t="s">
        <v>1682</v>
      </c>
      <c r="O39" s="5" t="s">
        <v>1680</v>
      </c>
      <c r="P39" s="6">
        <v>28090</v>
      </c>
      <c r="Q39" s="6">
        <v>28090</v>
      </c>
      <c r="R39" s="6">
        <v>0</v>
      </c>
      <c r="S39" s="6">
        <v>0</v>
      </c>
      <c r="T39" s="6">
        <v>0</v>
      </c>
    </row>
    <row r="40" spans="1:20">
      <c r="A40" s="5" t="s">
        <v>1672</v>
      </c>
      <c r="B40" s="5" t="s">
        <v>1673</v>
      </c>
      <c r="C40" s="5" t="s">
        <v>1715</v>
      </c>
      <c r="D40" s="5" t="s">
        <v>325</v>
      </c>
      <c r="E40" s="5" t="s">
        <v>1782</v>
      </c>
      <c r="F40" s="5" t="s">
        <v>1783</v>
      </c>
      <c r="G40" s="5" t="s">
        <v>1782</v>
      </c>
      <c r="H40" s="5" t="s">
        <v>1783</v>
      </c>
      <c r="I40" s="5" t="s">
        <v>1677</v>
      </c>
      <c r="J40" s="5" t="s">
        <v>1678</v>
      </c>
      <c r="K40" s="5" t="s">
        <v>1679</v>
      </c>
      <c r="L40" s="5" t="s">
        <v>1680</v>
      </c>
      <c r="M40" s="5" t="s">
        <v>1681</v>
      </c>
      <c r="N40" s="5" t="s">
        <v>1682</v>
      </c>
      <c r="O40" s="5" t="s">
        <v>1680</v>
      </c>
      <c r="P40" s="6">
        <v>28090</v>
      </c>
      <c r="Q40" s="6">
        <v>28090</v>
      </c>
      <c r="R40" s="6">
        <v>0</v>
      </c>
      <c r="S40" s="6">
        <v>0</v>
      </c>
      <c r="T40" s="6">
        <v>0</v>
      </c>
    </row>
    <row r="41" spans="1:20">
      <c r="A41" s="5" t="s">
        <v>1672</v>
      </c>
      <c r="B41" s="5" t="s">
        <v>1673</v>
      </c>
      <c r="C41" s="5" t="s">
        <v>1715</v>
      </c>
      <c r="D41" s="5" t="s">
        <v>325</v>
      </c>
      <c r="E41" s="5" t="s">
        <v>1784</v>
      </c>
      <c r="F41" s="5" t="s">
        <v>1785</v>
      </c>
      <c r="G41" s="5" t="s">
        <v>1786</v>
      </c>
      <c r="H41" s="5" t="s">
        <v>1787</v>
      </c>
      <c r="I41" s="5" t="s">
        <v>1677</v>
      </c>
      <c r="J41" s="5" t="s">
        <v>1678</v>
      </c>
      <c r="K41" s="5" t="s">
        <v>1679</v>
      </c>
      <c r="L41" s="5" t="s">
        <v>1680</v>
      </c>
      <c r="M41" s="5" t="s">
        <v>1681</v>
      </c>
      <c r="N41" s="5" t="s">
        <v>1682</v>
      </c>
      <c r="O41" s="5" t="s">
        <v>1680</v>
      </c>
      <c r="P41" s="6">
        <v>28090</v>
      </c>
      <c r="Q41" s="6">
        <v>28090</v>
      </c>
      <c r="R41" s="6">
        <v>0</v>
      </c>
      <c r="S41" s="6">
        <v>0</v>
      </c>
      <c r="T41" s="6">
        <v>0</v>
      </c>
    </row>
    <row r="42" spans="1:20">
      <c r="A42" s="5" t="s">
        <v>1672</v>
      </c>
      <c r="B42" s="5" t="s">
        <v>1673</v>
      </c>
      <c r="C42" s="5" t="s">
        <v>1715</v>
      </c>
      <c r="D42" s="5" t="s">
        <v>325</v>
      </c>
      <c r="E42" s="5" t="s">
        <v>1788</v>
      </c>
      <c r="F42" s="5" t="s">
        <v>1789</v>
      </c>
      <c r="G42" s="5" t="s">
        <v>1790</v>
      </c>
      <c r="H42" s="5" t="s">
        <v>1791</v>
      </c>
      <c r="I42" s="5" t="s">
        <v>1677</v>
      </c>
      <c r="J42" s="5" t="s">
        <v>1678</v>
      </c>
      <c r="K42" s="5" t="s">
        <v>1679</v>
      </c>
      <c r="L42" s="5" t="s">
        <v>1680</v>
      </c>
      <c r="M42" s="5" t="s">
        <v>1681</v>
      </c>
      <c r="N42" s="5" t="s">
        <v>1682</v>
      </c>
      <c r="O42" s="5" t="s">
        <v>1680</v>
      </c>
      <c r="P42" s="6">
        <v>28090</v>
      </c>
      <c r="Q42" s="6">
        <v>28090</v>
      </c>
      <c r="R42" s="6">
        <v>0</v>
      </c>
      <c r="S42" s="6">
        <v>0</v>
      </c>
      <c r="T42" s="6">
        <v>0</v>
      </c>
    </row>
    <row r="43" spans="1:20">
      <c r="A43" s="5" t="s">
        <v>1672</v>
      </c>
      <c r="B43" s="5" t="s">
        <v>1673</v>
      </c>
      <c r="C43" s="5" t="s">
        <v>1715</v>
      </c>
      <c r="D43" s="5" t="s">
        <v>325</v>
      </c>
      <c r="E43" s="5" t="s">
        <v>1792</v>
      </c>
      <c r="F43" s="5" t="s">
        <v>1793</v>
      </c>
      <c r="G43" s="5" t="s">
        <v>1794</v>
      </c>
      <c r="H43" s="5" t="s">
        <v>1795</v>
      </c>
      <c r="I43" s="5" t="s">
        <v>1677</v>
      </c>
      <c r="J43" s="5" t="s">
        <v>1678</v>
      </c>
      <c r="K43" s="5" t="s">
        <v>1679</v>
      </c>
      <c r="L43" s="5" t="s">
        <v>1680</v>
      </c>
      <c r="M43" s="5" t="s">
        <v>1681</v>
      </c>
      <c r="N43" s="5" t="s">
        <v>1682</v>
      </c>
      <c r="O43" s="5" t="s">
        <v>1680</v>
      </c>
      <c r="P43" s="6">
        <v>28090</v>
      </c>
      <c r="Q43" s="6">
        <v>28090</v>
      </c>
      <c r="R43" s="6">
        <v>0</v>
      </c>
      <c r="S43" s="6">
        <v>0</v>
      </c>
      <c r="T43" s="6">
        <v>0</v>
      </c>
    </row>
    <row r="44" spans="1:20">
      <c r="A44" s="5" t="s">
        <v>1672</v>
      </c>
      <c r="B44" s="5" t="s">
        <v>1673</v>
      </c>
      <c r="C44" s="5" t="s">
        <v>1715</v>
      </c>
      <c r="D44" s="5" t="s">
        <v>325</v>
      </c>
      <c r="E44" s="5" t="s">
        <v>1796</v>
      </c>
      <c r="F44" s="5" t="s">
        <v>1797</v>
      </c>
      <c r="G44" s="5" t="s">
        <v>1796</v>
      </c>
      <c r="H44" s="5" t="s">
        <v>1797</v>
      </c>
      <c r="I44" s="5" t="s">
        <v>1677</v>
      </c>
      <c r="J44" s="5" t="s">
        <v>1678</v>
      </c>
      <c r="K44" s="5" t="s">
        <v>1679</v>
      </c>
      <c r="L44" s="5" t="s">
        <v>1680</v>
      </c>
      <c r="M44" s="5" t="s">
        <v>1681</v>
      </c>
      <c r="N44" s="5" t="s">
        <v>1682</v>
      </c>
      <c r="O44" s="5" t="s">
        <v>1680</v>
      </c>
      <c r="P44" s="6">
        <v>28090</v>
      </c>
      <c r="Q44" s="6">
        <v>28090</v>
      </c>
      <c r="R44" s="6">
        <v>0</v>
      </c>
      <c r="S44" s="6">
        <v>0</v>
      </c>
      <c r="T44" s="6">
        <v>0</v>
      </c>
    </row>
    <row r="45" spans="1:20">
      <c r="A45" s="5" t="s">
        <v>1672</v>
      </c>
      <c r="B45" s="5" t="s">
        <v>1673</v>
      </c>
      <c r="C45" s="5" t="s">
        <v>1715</v>
      </c>
      <c r="D45" s="5" t="s">
        <v>325</v>
      </c>
      <c r="E45" s="5" t="s">
        <v>1798</v>
      </c>
      <c r="F45" s="5" t="s">
        <v>1799</v>
      </c>
      <c r="G45" s="5" t="s">
        <v>1798</v>
      </c>
      <c r="H45" s="5" t="s">
        <v>1799</v>
      </c>
      <c r="I45" s="5" t="s">
        <v>1677</v>
      </c>
      <c r="J45" s="5" t="s">
        <v>1678</v>
      </c>
      <c r="K45" s="5" t="s">
        <v>1679</v>
      </c>
      <c r="L45" s="5" t="s">
        <v>1680</v>
      </c>
      <c r="M45" s="5" t="s">
        <v>1681</v>
      </c>
      <c r="N45" s="5" t="s">
        <v>1682</v>
      </c>
      <c r="O45" s="5" t="s">
        <v>1680</v>
      </c>
      <c r="P45" s="6">
        <v>28090</v>
      </c>
      <c r="Q45" s="6">
        <v>28090</v>
      </c>
      <c r="R45" s="6">
        <v>0</v>
      </c>
      <c r="S45" s="6">
        <v>0</v>
      </c>
      <c r="T45" s="6">
        <v>0</v>
      </c>
    </row>
    <row r="46" spans="1:20">
      <c r="A46" s="5" t="s">
        <v>1672</v>
      </c>
      <c r="B46" s="5" t="s">
        <v>1673</v>
      </c>
      <c r="C46" s="5" t="s">
        <v>1715</v>
      </c>
      <c r="D46" s="5" t="s">
        <v>325</v>
      </c>
      <c r="E46" s="5" t="s">
        <v>1800</v>
      </c>
      <c r="F46" s="5" t="s">
        <v>1801</v>
      </c>
      <c r="G46" s="5" t="s">
        <v>1800</v>
      </c>
      <c r="H46" s="5" t="s">
        <v>1801</v>
      </c>
      <c r="I46" s="5" t="s">
        <v>1677</v>
      </c>
      <c r="J46" s="5" t="s">
        <v>1678</v>
      </c>
      <c r="K46" s="5" t="s">
        <v>1679</v>
      </c>
      <c r="L46" s="5" t="s">
        <v>1680</v>
      </c>
      <c r="M46" s="5" t="s">
        <v>1681</v>
      </c>
      <c r="N46" s="5" t="s">
        <v>1682</v>
      </c>
      <c r="O46" s="5" t="s">
        <v>1680</v>
      </c>
      <c r="P46" s="6">
        <v>28090</v>
      </c>
      <c r="Q46" s="6">
        <v>28090</v>
      </c>
      <c r="R46" s="6">
        <v>0</v>
      </c>
      <c r="S46" s="6">
        <v>0</v>
      </c>
      <c r="T46" s="6">
        <v>0</v>
      </c>
    </row>
    <row r="47" spans="1:20">
      <c r="A47" s="5" t="s">
        <v>1672</v>
      </c>
      <c r="B47" s="5" t="s">
        <v>1673</v>
      </c>
      <c r="C47" s="5" t="s">
        <v>1715</v>
      </c>
      <c r="D47" s="5" t="s">
        <v>325</v>
      </c>
      <c r="E47" s="5" t="s">
        <v>1802</v>
      </c>
      <c r="F47" s="5" t="s">
        <v>1803</v>
      </c>
      <c r="G47" s="5" t="s">
        <v>1804</v>
      </c>
      <c r="H47" s="5" t="s">
        <v>1805</v>
      </c>
      <c r="I47" s="5" t="s">
        <v>1677</v>
      </c>
      <c r="J47" s="5" t="s">
        <v>1678</v>
      </c>
      <c r="K47" s="5" t="s">
        <v>1679</v>
      </c>
      <c r="L47" s="5" t="s">
        <v>1680</v>
      </c>
      <c r="M47" s="5" t="s">
        <v>1681</v>
      </c>
      <c r="N47" s="5" t="s">
        <v>1682</v>
      </c>
      <c r="O47" s="5" t="s">
        <v>1680</v>
      </c>
      <c r="P47" s="6">
        <v>28090</v>
      </c>
      <c r="Q47" s="6">
        <v>28090</v>
      </c>
      <c r="R47" s="6">
        <v>0</v>
      </c>
      <c r="S47" s="6">
        <v>0</v>
      </c>
      <c r="T47" s="6">
        <v>0</v>
      </c>
    </row>
    <row r="48" spans="1:20">
      <c r="A48" s="5" t="s">
        <v>1672</v>
      </c>
      <c r="B48" s="5" t="s">
        <v>1673</v>
      </c>
      <c r="C48" s="5" t="s">
        <v>1715</v>
      </c>
      <c r="D48" s="5" t="s">
        <v>325</v>
      </c>
      <c r="E48" s="5" t="s">
        <v>1806</v>
      </c>
      <c r="F48" s="5" t="s">
        <v>1807</v>
      </c>
      <c r="G48" s="5" t="s">
        <v>1808</v>
      </c>
      <c r="H48" s="5" t="s">
        <v>1809</v>
      </c>
      <c r="I48" s="5" t="s">
        <v>1677</v>
      </c>
      <c r="J48" s="5" t="s">
        <v>1678</v>
      </c>
      <c r="K48" s="5" t="s">
        <v>1679</v>
      </c>
      <c r="L48" s="5" t="s">
        <v>1680</v>
      </c>
      <c r="M48" s="5" t="s">
        <v>1681</v>
      </c>
      <c r="N48" s="5" t="s">
        <v>1682</v>
      </c>
      <c r="O48" s="5" t="s">
        <v>1680</v>
      </c>
      <c r="P48" s="6">
        <v>28090</v>
      </c>
      <c r="Q48" s="6">
        <v>28090</v>
      </c>
      <c r="R48" s="6">
        <v>0</v>
      </c>
      <c r="S48" s="6">
        <v>0</v>
      </c>
      <c r="T48" s="6">
        <v>0</v>
      </c>
    </row>
    <row r="49" spans="1:20">
      <c r="A49" s="5" t="s">
        <v>1672</v>
      </c>
      <c r="B49" s="5" t="s">
        <v>1673</v>
      </c>
      <c r="C49" s="5" t="s">
        <v>1715</v>
      </c>
      <c r="D49" s="5" t="s">
        <v>325</v>
      </c>
      <c r="E49" s="5" t="s">
        <v>1810</v>
      </c>
      <c r="F49" s="5" t="s">
        <v>1811</v>
      </c>
      <c r="G49" s="5" t="s">
        <v>1812</v>
      </c>
      <c r="H49" s="5" t="s">
        <v>1813</v>
      </c>
      <c r="I49" s="5" t="s">
        <v>1677</v>
      </c>
      <c r="J49" s="5" t="s">
        <v>1678</v>
      </c>
      <c r="K49" s="5" t="s">
        <v>1679</v>
      </c>
      <c r="L49" s="5" t="s">
        <v>1680</v>
      </c>
      <c r="M49" s="5" t="s">
        <v>1681</v>
      </c>
      <c r="N49" s="5" t="s">
        <v>1682</v>
      </c>
      <c r="O49" s="5" t="s">
        <v>1680</v>
      </c>
      <c r="P49" s="6">
        <v>28090</v>
      </c>
      <c r="Q49" s="6">
        <v>28090</v>
      </c>
      <c r="R49" s="6">
        <v>0</v>
      </c>
      <c r="S49" s="6">
        <v>0</v>
      </c>
      <c r="T49" s="6">
        <v>0</v>
      </c>
    </row>
    <row r="50" spans="1:20">
      <c r="A50" s="5" t="s">
        <v>1672</v>
      </c>
      <c r="B50" s="5" t="s">
        <v>1673</v>
      </c>
      <c r="C50" s="5" t="s">
        <v>1715</v>
      </c>
      <c r="D50" s="5" t="s">
        <v>325</v>
      </c>
      <c r="E50" s="5" t="s">
        <v>1814</v>
      </c>
      <c r="F50" s="5" t="s">
        <v>1815</v>
      </c>
      <c r="G50" s="5" t="s">
        <v>1814</v>
      </c>
      <c r="H50" s="5" t="s">
        <v>1815</v>
      </c>
      <c r="I50" s="5" t="s">
        <v>1677</v>
      </c>
      <c r="J50" s="5" t="s">
        <v>1678</v>
      </c>
      <c r="K50" s="5" t="s">
        <v>1679</v>
      </c>
      <c r="L50" s="5" t="s">
        <v>1680</v>
      </c>
      <c r="M50" s="5" t="s">
        <v>1681</v>
      </c>
      <c r="N50" s="5" t="s">
        <v>1682</v>
      </c>
      <c r="O50" s="5" t="s">
        <v>1680</v>
      </c>
      <c r="P50" s="6">
        <v>28090</v>
      </c>
      <c r="Q50" s="6">
        <v>28090</v>
      </c>
      <c r="R50" s="6">
        <v>0</v>
      </c>
      <c r="S50" s="6">
        <v>0</v>
      </c>
      <c r="T50" s="6">
        <v>0</v>
      </c>
    </row>
    <row r="51" spans="1:20">
      <c r="A51" s="5" t="s">
        <v>1672</v>
      </c>
      <c r="B51" s="5" t="s">
        <v>1673</v>
      </c>
      <c r="C51" s="5" t="s">
        <v>1715</v>
      </c>
      <c r="D51" s="5" t="s">
        <v>325</v>
      </c>
      <c r="E51" s="5" t="s">
        <v>1816</v>
      </c>
      <c r="F51" s="5" t="s">
        <v>1817</v>
      </c>
      <c r="G51" s="5" t="s">
        <v>1818</v>
      </c>
      <c r="H51" s="5" t="s">
        <v>1819</v>
      </c>
      <c r="I51" s="5" t="s">
        <v>1677</v>
      </c>
      <c r="J51" s="5" t="s">
        <v>1678</v>
      </c>
      <c r="K51" s="5" t="s">
        <v>1679</v>
      </c>
      <c r="L51" s="5" t="s">
        <v>1680</v>
      </c>
      <c r="M51" s="5" t="s">
        <v>1681</v>
      </c>
      <c r="N51" s="5" t="s">
        <v>1682</v>
      </c>
      <c r="O51" s="5" t="s">
        <v>1680</v>
      </c>
      <c r="P51" s="6">
        <v>28090</v>
      </c>
      <c r="Q51" s="6">
        <v>28090</v>
      </c>
      <c r="R51" s="6">
        <v>0</v>
      </c>
      <c r="S51" s="6">
        <v>0</v>
      </c>
      <c r="T51" s="6">
        <v>0</v>
      </c>
    </row>
    <row r="52" spans="1:20">
      <c r="A52" s="5" t="s">
        <v>1672</v>
      </c>
      <c r="B52" s="5" t="s">
        <v>1673</v>
      </c>
      <c r="C52" s="5" t="s">
        <v>1715</v>
      </c>
      <c r="D52" s="5" t="s">
        <v>325</v>
      </c>
      <c r="E52" s="5" t="s">
        <v>1820</v>
      </c>
      <c r="F52" s="5" t="s">
        <v>1821</v>
      </c>
      <c r="G52" s="5" t="s">
        <v>1822</v>
      </c>
      <c r="H52" s="5" t="s">
        <v>1823</v>
      </c>
      <c r="I52" s="5" t="s">
        <v>1677</v>
      </c>
      <c r="J52" s="5" t="s">
        <v>1678</v>
      </c>
      <c r="K52" s="5" t="s">
        <v>1679</v>
      </c>
      <c r="L52" s="5" t="s">
        <v>1680</v>
      </c>
      <c r="M52" s="5" t="s">
        <v>1681</v>
      </c>
      <c r="N52" s="5" t="s">
        <v>1682</v>
      </c>
      <c r="O52" s="5" t="s">
        <v>1680</v>
      </c>
      <c r="P52" s="6">
        <v>28090</v>
      </c>
      <c r="Q52" s="6">
        <v>28090</v>
      </c>
      <c r="R52" s="6">
        <v>0</v>
      </c>
      <c r="S52" s="6">
        <v>0</v>
      </c>
      <c r="T52" s="6">
        <v>0</v>
      </c>
    </row>
    <row r="53" spans="1:20">
      <c r="A53" s="5" t="s">
        <v>1672</v>
      </c>
      <c r="B53" s="5" t="s">
        <v>1673</v>
      </c>
      <c r="C53" s="5" t="s">
        <v>1715</v>
      </c>
      <c r="D53" s="5" t="s">
        <v>325</v>
      </c>
      <c r="E53" s="5" t="s">
        <v>1824</v>
      </c>
      <c r="F53" s="5" t="s">
        <v>1825</v>
      </c>
      <c r="G53" s="5" t="s">
        <v>1826</v>
      </c>
      <c r="H53" s="5" t="s">
        <v>1827</v>
      </c>
      <c r="I53" s="5" t="s">
        <v>1677</v>
      </c>
      <c r="J53" s="5" t="s">
        <v>1678</v>
      </c>
      <c r="K53" s="5" t="s">
        <v>1679</v>
      </c>
      <c r="L53" s="5" t="s">
        <v>1680</v>
      </c>
      <c r="M53" s="5" t="s">
        <v>1681</v>
      </c>
      <c r="N53" s="5" t="s">
        <v>1682</v>
      </c>
      <c r="O53" s="5" t="s">
        <v>1680</v>
      </c>
      <c r="P53" s="6">
        <v>28090</v>
      </c>
      <c r="Q53" s="6">
        <v>28090</v>
      </c>
      <c r="R53" s="6">
        <v>0</v>
      </c>
      <c r="S53" s="6">
        <v>0</v>
      </c>
      <c r="T53" s="6">
        <v>0</v>
      </c>
    </row>
    <row r="54" spans="1:20">
      <c r="A54" s="5" t="s">
        <v>1672</v>
      </c>
      <c r="B54" s="5" t="s">
        <v>1673</v>
      </c>
      <c r="C54" s="5" t="s">
        <v>1715</v>
      </c>
      <c r="D54" s="5" t="s">
        <v>325</v>
      </c>
      <c r="E54" s="5" t="s">
        <v>1828</v>
      </c>
      <c r="F54" s="5" t="s">
        <v>1829</v>
      </c>
      <c r="G54" s="5" t="s">
        <v>1828</v>
      </c>
      <c r="H54" s="5" t="s">
        <v>1829</v>
      </c>
      <c r="I54" s="5" t="s">
        <v>1677</v>
      </c>
      <c r="J54" s="5" t="s">
        <v>1678</v>
      </c>
      <c r="K54" s="5" t="s">
        <v>1679</v>
      </c>
      <c r="L54" s="5" t="s">
        <v>1680</v>
      </c>
      <c r="M54" s="5" t="s">
        <v>1681</v>
      </c>
      <c r="N54" s="5" t="s">
        <v>1682</v>
      </c>
      <c r="O54" s="5" t="s">
        <v>1680</v>
      </c>
      <c r="P54" s="6">
        <v>28090</v>
      </c>
      <c r="Q54" s="6">
        <v>28090</v>
      </c>
      <c r="R54" s="6">
        <v>0</v>
      </c>
      <c r="S54" s="6">
        <v>0</v>
      </c>
      <c r="T54" s="6">
        <v>0</v>
      </c>
    </row>
    <row r="55" spans="1:20">
      <c r="A55" s="5" t="s">
        <v>1672</v>
      </c>
      <c r="B55" s="5" t="s">
        <v>1673</v>
      </c>
      <c r="C55" s="5" t="s">
        <v>1715</v>
      </c>
      <c r="D55" s="5" t="s">
        <v>325</v>
      </c>
      <c r="E55" s="5" t="s">
        <v>1830</v>
      </c>
      <c r="F55" s="5" t="s">
        <v>1831</v>
      </c>
      <c r="G55" s="5" t="s">
        <v>1830</v>
      </c>
      <c r="H55" s="5" t="s">
        <v>1831</v>
      </c>
      <c r="I55" s="5" t="s">
        <v>1677</v>
      </c>
      <c r="J55" s="5" t="s">
        <v>1678</v>
      </c>
      <c r="K55" s="5" t="s">
        <v>1679</v>
      </c>
      <c r="L55" s="5" t="s">
        <v>1680</v>
      </c>
      <c r="M55" s="5" t="s">
        <v>1681</v>
      </c>
      <c r="N55" s="5" t="s">
        <v>1682</v>
      </c>
      <c r="O55" s="5" t="s">
        <v>1680</v>
      </c>
      <c r="P55" s="6">
        <v>28090</v>
      </c>
      <c r="Q55" s="6">
        <v>28090</v>
      </c>
      <c r="R55" s="6">
        <v>0</v>
      </c>
      <c r="S55" s="6">
        <v>0</v>
      </c>
      <c r="T55" s="6">
        <v>0</v>
      </c>
    </row>
    <row r="56" spans="1:20">
      <c r="A56" s="5" t="s">
        <v>1672</v>
      </c>
      <c r="B56" s="5" t="s">
        <v>1673</v>
      </c>
      <c r="C56" s="5" t="s">
        <v>1715</v>
      </c>
      <c r="D56" s="5" t="s">
        <v>325</v>
      </c>
      <c r="E56" s="5" t="s">
        <v>1832</v>
      </c>
      <c r="F56" s="5" t="s">
        <v>1833</v>
      </c>
      <c r="G56" s="5" t="s">
        <v>1834</v>
      </c>
      <c r="H56" s="5" t="s">
        <v>1835</v>
      </c>
      <c r="I56" s="5" t="s">
        <v>1677</v>
      </c>
      <c r="J56" s="5" t="s">
        <v>1678</v>
      </c>
      <c r="K56" s="5" t="s">
        <v>1679</v>
      </c>
      <c r="L56" s="5" t="s">
        <v>1680</v>
      </c>
      <c r="M56" s="5" t="s">
        <v>1681</v>
      </c>
      <c r="N56" s="5" t="s">
        <v>1682</v>
      </c>
      <c r="O56" s="5" t="s">
        <v>1680</v>
      </c>
      <c r="P56" s="6">
        <v>28090</v>
      </c>
      <c r="Q56" s="6">
        <v>28090</v>
      </c>
      <c r="R56" s="6">
        <v>0</v>
      </c>
      <c r="S56" s="6">
        <v>0</v>
      </c>
      <c r="T56" s="6">
        <v>0</v>
      </c>
    </row>
    <row r="57" spans="1:20">
      <c r="A57" s="5" t="s">
        <v>1672</v>
      </c>
      <c r="B57" s="5" t="s">
        <v>1673</v>
      </c>
      <c r="C57" s="5" t="s">
        <v>1715</v>
      </c>
      <c r="D57" s="5" t="s">
        <v>325</v>
      </c>
      <c r="E57" s="5" t="s">
        <v>1836</v>
      </c>
      <c r="F57" s="5" t="s">
        <v>1837</v>
      </c>
      <c r="G57" s="5" t="s">
        <v>1836</v>
      </c>
      <c r="H57" s="5" t="s">
        <v>1837</v>
      </c>
      <c r="I57" s="5" t="s">
        <v>1677</v>
      </c>
      <c r="J57" s="5" t="s">
        <v>1678</v>
      </c>
      <c r="K57" s="5" t="s">
        <v>1679</v>
      </c>
      <c r="L57" s="5" t="s">
        <v>1680</v>
      </c>
      <c r="M57" s="5" t="s">
        <v>1681</v>
      </c>
      <c r="N57" s="5" t="s">
        <v>1682</v>
      </c>
      <c r="O57" s="5" t="s">
        <v>1680</v>
      </c>
      <c r="P57" s="6">
        <v>28090</v>
      </c>
      <c r="Q57" s="6">
        <v>28090</v>
      </c>
      <c r="R57" s="6">
        <v>0</v>
      </c>
      <c r="S57" s="6">
        <v>0</v>
      </c>
      <c r="T57" s="6">
        <v>0</v>
      </c>
    </row>
    <row r="58" spans="1:20">
      <c r="A58" s="5" t="s">
        <v>1672</v>
      </c>
      <c r="B58" s="5" t="s">
        <v>1673</v>
      </c>
      <c r="C58" s="5" t="s">
        <v>1715</v>
      </c>
      <c r="D58" s="5" t="s">
        <v>325</v>
      </c>
      <c r="E58" s="5" t="s">
        <v>1838</v>
      </c>
      <c r="F58" s="5" t="s">
        <v>1839</v>
      </c>
      <c r="G58" s="5" t="s">
        <v>1840</v>
      </c>
      <c r="H58" s="5" t="s">
        <v>1841</v>
      </c>
      <c r="I58" s="5" t="s">
        <v>1677</v>
      </c>
      <c r="J58" s="5" t="s">
        <v>1678</v>
      </c>
      <c r="K58" s="5" t="s">
        <v>1679</v>
      </c>
      <c r="L58" s="5" t="s">
        <v>1680</v>
      </c>
      <c r="M58" s="5" t="s">
        <v>1681</v>
      </c>
      <c r="N58" s="5" t="s">
        <v>1682</v>
      </c>
      <c r="O58" s="5" t="s">
        <v>1680</v>
      </c>
      <c r="P58" s="6">
        <v>28090</v>
      </c>
      <c r="Q58" s="6">
        <v>28090</v>
      </c>
      <c r="R58" s="6">
        <v>0</v>
      </c>
      <c r="S58" s="6">
        <v>0</v>
      </c>
      <c r="T58" s="6">
        <v>0</v>
      </c>
    </row>
    <row r="59" spans="1:20">
      <c r="A59" s="5" t="s">
        <v>1672</v>
      </c>
      <c r="B59" s="5" t="s">
        <v>1673</v>
      </c>
      <c r="C59" s="5" t="s">
        <v>1842</v>
      </c>
      <c r="D59" s="5" t="s">
        <v>514</v>
      </c>
      <c r="E59" s="5" t="s">
        <v>1843</v>
      </c>
      <c r="F59" s="5" t="s">
        <v>1844</v>
      </c>
      <c r="G59" s="5" t="s">
        <v>1843</v>
      </c>
      <c r="H59" s="5" t="s">
        <v>1844</v>
      </c>
      <c r="I59" s="5" t="s">
        <v>1677</v>
      </c>
      <c r="J59" s="5" t="s">
        <v>1678</v>
      </c>
      <c r="K59" s="5" t="s">
        <v>1679</v>
      </c>
      <c r="L59" s="5" t="s">
        <v>1680</v>
      </c>
      <c r="M59" s="5" t="s">
        <v>1681</v>
      </c>
      <c r="N59" s="5" t="s">
        <v>1682</v>
      </c>
      <c r="O59" s="5" t="s">
        <v>1680</v>
      </c>
      <c r="P59" s="6">
        <v>95328</v>
      </c>
      <c r="Q59" s="6">
        <v>95328</v>
      </c>
      <c r="R59" s="6">
        <v>0</v>
      </c>
      <c r="S59" s="6">
        <v>0</v>
      </c>
      <c r="T59" s="6">
        <v>0</v>
      </c>
    </row>
    <row r="60" spans="1:20">
      <c r="A60" s="5" t="s">
        <v>1672</v>
      </c>
      <c r="B60" s="5" t="s">
        <v>1673</v>
      </c>
      <c r="C60" s="5" t="s">
        <v>1842</v>
      </c>
      <c r="D60" s="5" t="s">
        <v>514</v>
      </c>
      <c r="E60" s="5" t="s">
        <v>1845</v>
      </c>
      <c r="F60" s="5" t="s">
        <v>1846</v>
      </c>
      <c r="G60" s="5" t="s">
        <v>1847</v>
      </c>
      <c r="H60" s="5" t="s">
        <v>1848</v>
      </c>
      <c r="I60" s="5" t="s">
        <v>1677</v>
      </c>
      <c r="J60" s="5" t="s">
        <v>1678</v>
      </c>
      <c r="K60" s="5" t="s">
        <v>1679</v>
      </c>
      <c r="L60" s="5" t="s">
        <v>1680</v>
      </c>
      <c r="M60" s="5" t="s">
        <v>1681</v>
      </c>
      <c r="N60" s="5" t="s">
        <v>1682</v>
      </c>
      <c r="O60" s="5" t="s">
        <v>1680</v>
      </c>
      <c r="P60" s="6">
        <v>95328</v>
      </c>
      <c r="Q60" s="6">
        <v>95328</v>
      </c>
      <c r="R60" s="6">
        <v>0</v>
      </c>
      <c r="S60" s="6">
        <v>0</v>
      </c>
      <c r="T60" s="6">
        <v>0</v>
      </c>
    </row>
    <row r="61" spans="1:20">
      <c r="A61" s="5" t="s">
        <v>1672</v>
      </c>
      <c r="B61" s="5" t="s">
        <v>1673</v>
      </c>
      <c r="C61" s="5" t="s">
        <v>1842</v>
      </c>
      <c r="D61" s="5" t="s">
        <v>514</v>
      </c>
      <c r="E61" s="5" t="s">
        <v>1849</v>
      </c>
      <c r="F61" s="5" t="s">
        <v>1850</v>
      </c>
      <c r="G61" s="5" t="s">
        <v>1849</v>
      </c>
      <c r="H61" s="5" t="s">
        <v>1850</v>
      </c>
      <c r="I61" s="5" t="s">
        <v>1677</v>
      </c>
      <c r="J61" s="5" t="s">
        <v>1678</v>
      </c>
      <c r="K61" s="5" t="s">
        <v>1679</v>
      </c>
      <c r="L61" s="5" t="s">
        <v>1680</v>
      </c>
      <c r="M61" s="5" t="s">
        <v>1681</v>
      </c>
      <c r="N61" s="5" t="s">
        <v>1682</v>
      </c>
      <c r="O61" s="5" t="s">
        <v>1680</v>
      </c>
      <c r="P61" s="6">
        <v>95328</v>
      </c>
      <c r="Q61" s="6">
        <v>95328</v>
      </c>
      <c r="R61" s="6">
        <v>0</v>
      </c>
      <c r="S61" s="6">
        <v>0</v>
      </c>
      <c r="T61" s="6">
        <v>0</v>
      </c>
    </row>
    <row r="62" spans="1:20">
      <c r="A62" s="5" t="s">
        <v>1672</v>
      </c>
      <c r="B62" s="5" t="s">
        <v>1673</v>
      </c>
      <c r="C62" s="5" t="s">
        <v>1842</v>
      </c>
      <c r="D62" s="5" t="s">
        <v>514</v>
      </c>
      <c r="E62" s="5" t="s">
        <v>1851</v>
      </c>
      <c r="F62" s="5" t="s">
        <v>1852</v>
      </c>
      <c r="G62" s="5" t="s">
        <v>1853</v>
      </c>
      <c r="H62" s="5" t="s">
        <v>1854</v>
      </c>
      <c r="I62" s="5" t="s">
        <v>1677</v>
      </c>
      <c r="J62" s="5" t="s">
        <v>1678</v>
      </c>
      <c r="K62" s="5" t="s">
        <v>1679</v>
      </c>
      <c r="L62" s="5" t="s">
        <v>1680</v>
      </c>
      <c r="M62" s="5" t="s">
        <v>1681</v>
      </c>
      <c r="N62" s="5" t="s">
        <v>1682</v>
      </c>
      <c r="O62" s="5" t="s">
        <v>1680</v>
      </c>
      <c r="P62" s="6">
        <v>95328</v>
      </c>
      <c r="Q62" s="6">
        <v>95328</v>
      </c>
      <c r="R62" s="6">
        <v>0</v>
      </c>
      <c r="S62" s="6">
        <v>0</v>
      </c>
      <c r="T62" s="6">
        <v>0</v>
      </c>
    </row>
    <row r="63" spans="1:20">
      <c r="A63" s="5" t="s">
        <v>1672</v>
      </c>
      <c r="B63" s="5" t="s">
        <v>1673</v>
      </c>
      <c r="C63" s="5" t="s">
        <v>1842</v>
      </c>
      <c r="D63" s="5" t="s">
        <v>514</v>
      </c>
      <c r="E63" s="5" t="s">
        <v>1855</v>
      </c>
      <c r="F63" s="5" t="s">
        <v>1856</v>
      </c>
      <c r="G63" s="5" t="s">
        <v>1857</v>
      </c>
      <c r="H63" s="5" t="s">
        <v>1858</v>
      </c>
      <c r="I63" s="5" t="s">
        <v>1677</v>
      </c>
      <c r="J63" s="5" t="s">
        <v>1678</v>
      </c>
      <c r="K63" s="5" t="s">
        <v>1679</v>
      </c>
      <c r="L63" s="5" t="s">
        <v>1680</v>
      </c>
      <c r="M63" s="5" t="s">
        <v>1681</v>
      </c>
      <c r="N63" s="5" t="s">
        <v>1682</v>
      </c>
      <c r="O63" s="5" t="s">
        <v>1680</v>
      </c>
      <c r="P63" s="6">
        <v>95328</v>
      </c>
      <c r="Q63" s="6">
        <v>95328</v>
      </c>
      <c r="R63" s="6">
        <v>0</v>
      </c>
      <c r="S63" s="6">
        <v>0</v>
      </c>
      <c r="T63" s="6">
        <v>0</v>
      </c>
    </row>
    <row r="64" spans="1:20">
      <c r="A64" s="5" t="s">
        <v>1672</v>
      </c>
      <c r="B64" s="5" t="s">
        <v>1673</v>
      </c>
      <c r="C64" s="5" t="s">
        <v>1842</v>
      </c>
      <c r="D64" s="5" t="s">
        <v>514</v>
      </c>
      <c r="E64" s="5" t="s">
        <v>1859</v>
      </c>
      <c r="F64" s="5" t="s">
        <v>1860</v>
      </c>
      <c r="G64" s="5" t="s">
        <v>1861</v>
      </c>
      <c r="H64" s="5" t="s">
        <v>1862</v>
      </c>
      <c r="I64" s="5" t="s">
        <v>1677</v>
      </c>
      <c r="J64" s="5" t="s">
        <v>1678</v>
      </c>
      <c r="K64" s="5" t="s">
        <v>1679</v>
      </c>
      <c r="L64" s="5" t="s">
        <v>1680</v>
      </c>
      <c r="M64" s="5" t="s">
        <v>1681</v>
      </c>
      <c r="N64" s="5" t="s">
        <v>1682</v>
      </c>
      <c r="O64" s="5" t="s">
        <v>1680</v>
      </c>
      <c r="P64" s="6">
        <v>95328</v>
      </c>
      <c r="Q64" s="6">
        <v>95328</v>
      </c>
      <c r="R64" s="6">
        <v>0</v>
      </c>
      <c r="S64" s="6">
        <v>0</v>
      </c>
      <c r="T64" s="6">
        <v>0</v>
      </c>
    </row>
    <row r="65" spans="1:20">
      <c r="A65" s="5" t="s">
        <v>1672</v>
      </c>
      <c r="B65" s="5" t="s">
        <v>1673</v>
      </c>
      <c r="C65" s="5" t="s">
        <v>1674</v>
      </c>
      <c r="D65" s="5" t="s">
        <v>2</v>
      </c>
      <c r="E65" s="5" t="s">
        <v>1675</v>
      </c>
      <c r="F65" s="5" t="s">
        <v>1676</v>
      </c>
      <c r="G65" s="5" t="s">
        <v>1675</v>
      </c>
      <c r="H65" s="5" t="s">
        <v>1676</v>
      </c>
      <c r="I65" s="5" t="s">
        <v>1863</v>
      </c>
      <c r="J65" s="5" t="s">
        <v>1678</v>
      </c>
      <c r="K65" s="5" t="s">
        <v>1679</v>
      </c>
      <c r="L65" s="5" t="s">
        <v>1680</v>
      </c>
      <c r="M65" s="5" t="s">
        <v>1681</v>
      </c>
      <c r="N65" s="5" t="s">
        <v>1682</v>
      </c>
      <c r="O65" s="5" t="s">
        <v>1680</v>
      </c>
      <c r="P65" s="6">
        <v>20863.78</v>
      </c>
      <c r="Q65" s="6">
        <v>25190</v>
      </c>
      <c r="R65" s="6">
        <v>35.19</v>
      </c>
      <c r="S65" s="6">
        <v>4291.03</v>
      </c>
      <c r="T65" s="6">
        <v>0</v>
      </c>
    </row>
    <row r="66" spans="1:20">
      <c r="A66" s="5" t="s">
        <v>1672</v>
      </c>
      <c r="B66" s="5" t="s">
        <v>1673</v>
      </c>
      <c r="C66" s="5" t="s">
        <v>1674</v>
      </c>
      <c r="D66" s="5" t="s">
        <v>2</v>
      </c>
      <c r="E66" s="5" t="s">
        <v>1683</v>
      </c>
      <c r="F66" s="5" t="s">
        <v>1684</v>
      </c>
      <c r="G66" s="5" t="s">
        <v>1683</v>
      </c>
      <c r="H66" s="5" t="s">
        <v>1684</v>
      </c>
      <c r="I66" s="5" t="s">
        <v>1863</v>
      </c>
      <c r="J66" s="5" t="s">
        <v>1678</v>
      </c>
      <c r="K66" s="5" t="s">
        <v>1679</v>
      </c>
      <c r="L66" s="5" t="s">
        <v>1680</v>
      </c>
      <c r="M66" s="5" t="s">
        <v>1681</v>
      </c>
      <c r="N66" s="5" t="s">
        <v>1682</v>
      </c>
      <c r="O66" s="5" t="s">
        <v>1680</v>
      </c>
      <c r="P66" s="6">
        <v>20863.78</v>
      </c>
      <c r="Q66" s="6">
        <v>25190</v>
      </c>
      <c r="R66" s="6">
        <v>35.19</v>
      </c>
      <c r="S66" s="6">
        <v>4291.03</v>
      </c>
      <c r="T66" s="6">
        <v>0</v>
      </c>
    </row>
    <row r="67" spans="1:20">
      <c r="A67" s="5" t="s">
        <v>1672</v>
      </c>
      <c r="B67" s="5" t="s">
        <v>1673</v>
      </c>
      <c r="C67" s="5" t="s">
        <v>1674</v>
      </c>
      <c r="D67" s="5" t="s">
        <v>2</v>
      </c>
      <c r="E67" s="5" t="s">
        <v>1685</v>
      </c>
      <c r="F67" s="5" t="s">
        <v>1686</v>
      </c>
      <c r="G67" s="5" t="s">
        <v>1685</v>
      </c>
      <c r="H67" s="5" t="s">
        <v>1686</v>
      </c>
      <c r="I67" s="5" t="s">
        <v>1863</v>
      </c>
      <c r="J67" s="5" t="s">
        <v>1678</v>
      </c>
      <c r="K67" s="5" t="s">
        <v>1679</v>
      </c>
      <c r="L67" s="5" t="s">
        <v>1680</v>
      </c>
      <c r="M67" s="5" t="s">
        <v>1681</v>
      </c>
      <c r="N67" s="5" t="s">
        <v>1682</v>
      </c>
      <c r="O67" s="5" t="s">
        <v>1680</v>
      </c>
      <c r="P67" s="6">
        <v>20863.78</v>
      </c>
      <c r="Q67" s="6">
        <v>25190</v>
      </c>
      <c r="R67" s="6">
        <v>35.19</v>
      </c>
      <c r="S67" s="6">
        <v>4291.03</v>
      </c>
      <c r="T67" s="6">
        <v>0</v>
      </c>
    </row>
    <row r="68" spans="1:20">
      <c r="A68" s="5" t="s">
        <v>1672</v>
      </c>
      <c r="B68" s="5" t="s">
        <v>1673</v>
      </c>
      <c r="C68" s="5" t="s">
        <v>1674</v>
      </c>
      <c r="D68" s="5" t="s">
        <v>2</v>
      </c>
      <c r="E68" s="5" t="s">
        <v>1687</v>
      </c>
      <c r="F68" s="5" t="s">
        <v>1688</v>
      </c>
      <c r="G68" s="5" t="s">
        <v>1687</v>
      </c>
      <c r="H68" s="5" t="s">
        <v>1688</v>
      </c>
      <c r="I68" s="5" t="s">
        <v>1863</v>
      </c>
      <c r="J68" s="5" t="s">
        <v>1678</v>
      </c>
      <c r="K68" s="5" t="s">
        <v>1679</v>
      </c>
      <c r="L68" s="5" t="s">
        <v>1680</v>
      </c>
      <c r="M68" s="5" t="s">
        <v>1681</v>
      </c>
      <c r="N68" s="5" t="s">
        <v>1682</v>
      </c>
      <c r="O68" s="5" t="s">
        <v>1680</v>
      </c>
      <c r="P68" s="6">
        <v>20863.78</v>
      </c>
      <c r="Q68" s="6">
        <v>25190</v>
      </c>
      <c r="R68" s="6">
        <v>35.19</v>
      </c>
      <c r="S68" s="6">
        <v>4291.03</v>
      </c>
      <c r="T68" s="6">
        <v>0</v>
      </c>
    </row>
    <row r="69" spans="1:20">
      <c r="A69" s="5" t="s">
        <v>1672</v>
      </c>
      <c r="B69" s="5" t="s">
        <v>1673</v>
      </c>
      <c r="C69" s="5" t="s">
        <v>1674</v>
      </c>
      <c r="D69" s="5" t="s">
        <v>2</v>
      </c>
      <c r="E69" s="5" t="s">
        <v>1689</v>
      </c>
      <c r="F69" s="5" t="s">
        <v>1690</v>
      </c>
      <c r="G69" s="5" t="s">
        <v>1689</v>
      </c>
      <c r="H69" s="5" t="s">
        <v>1690</v>
      </c>
      <c r="I69" s="5" t="s">
        <v>1863</v>
      </c>
      <c r="J69" s="5" t="s">
        <v>1678</v>
      </c>
      <c r="K69" s="5" t="s">
        <v>1679</v>
      </c>
      <c r="L69" s="5" t="s">
        <v>1680</v>
      </c>
      <c r="M69" s="5" t="s">
        <v>1681</v>
      </c>
      <c r="N69" s="5" t="s">
        <v>1682</v>
      </c>
      <c r="O69" s="5" t="s">
        <v>1680</v>
      </c>
      <c r="P69" s="6">
        <v>20863.78</v>
      </c>
      <c r="Q69" s="6">
        <v>25190</v>
      </c>
      <c r="R69" s="6">
        <v>35.19</v>
      </c>
      <c r="S69" s="6">
        <v>4291.03</v>
      </c>
      <c r="T69" s="6">
        <v>0</v>
      </c>
    </row>
    <row r="70" spans="1:20">
      <c r="A70" s="5" t="s">
        <v>1672</v>
      </c>
      <c r="B70" s="5" t="s">
        <v>1673</v>
      </c>
      <c r="C70" s="5" t="s">
        <v>1674</v>
      </c>
      <c r="D70" s="5" t="s">
        <v>2</v>
      </c>
      <c r="E70" s="5" t="s">
        <v>1691</v>
      </c>
      <c r="F70" s="5" t="s">
        <v>1692</v>
      </c>
      <c r="G70" s="5" t="s">
        <v>1693</v>
      </c>
      <c r="H70" s="5" t="s">
        <v>1694</v>
      </c>
      <c r="I70" s="5" t="s">
        <v>1863</v>
      </c>
      <c r="J70" s="5" t="s">
        <v>1678</v>
      </c>
      <c r="K70" s="5" t="s">
        <v>1679</v>
      </c>
      <c r="L70" s="5" t="s">
        <v>1680</v>
      </c>
      <c r="M70" s="5" t="s">
        <v>1681</v>
      </c>
      <c r="N70" s="5" t="s">
        <v>1682</v>
      </c>
      <c r="O70" s="5" t="s">
        <v>1680</v>
      </c>
      <c r="P70" s="6">
        <v>20863.78</v>
      </c>
      <c r="Q70" s="6">
        <v>25190</v>
      </c>
      <c r="R70" s="6">
        <v>35.19</v>
      </c>
      <c r="S70" s="6">
        <v>4291.03</v>
      </c>
      <c r="T70" s="6">
        <v>0</v>
      </c>
    </row>
    <row r="71" spans="1:20">
      <c r="A71" s="5" t="s">
        <v>1672</v>
      </c>
      <c r="B71" s="5" t="s">
        <v>1673</v>
      </c>
      <c r="C71" s="5" t="s">
        <v>1674</v>
      </c>
      <c r="D71" s="5" t="s">
        <v>2</v>
      </c>
      <c r="E71" s="5" t="s">
        <v>1695</v>
      </c>
      <c r="F71" s="5" t="s">
        <v>1696</v>
      </c>
      <c r="G71" s="5" t="s">
        <v>1697</v>
      </c>
      <c r="H71" s="5" t="s">
        <v>1698</v>
      </c>
      <c r="I71" s="5" t="s">
        <v>1863</v>
      </c>
      <c r="J71" s="5" t="s">
        <v>1678</v>
      </c>
      <c r="K71" s="5" t="s">
        <v>1679</v>
      </c>
      <c r="L71" s="5" t="s">
        <v>1680</v>
      </c>
      <c r="M71" s="5" t="s">
        <v>1681</v>
      </c>
      <c r="N71" s="5" t="s">
        <v>1682</v>
      </c>
      <c r="O71" s="5" t="s">
        <v>1680</v>
      </c>
      <c r="P71" s="6">
        <v>20863.78</v>
      </c>
      <c r="Q71" s="6">
        <v>25190</v>
      </c>
      <c r="R71" s="6">
        <v>35.19</v>
      </c>
      <c r="S71" s="6">
        <v>4291.03</v>
      </c>
      <c r="T71" s="6">
        <v>0</v>
      </c>
    </row>
    <row r="72" spans="1:20">
      <c r="A72" s="5" t="s">
        <v>1672</v>
      </c>
      <c r="B72" s="5" t="s">
        <v>1673</v>
      </c>
      <c r="C72" s="5" t="s">
        <v>1674</v>
      </c>
      <c r="D72" s="5" t="s">
        <v>2</v>
      </c>
      <c r="E72" s="5" t="s">
        <v>1699</v>
      </c>
      <c r="F72" s="5" t="s">
        <v>1700</v>
      </c>
      <c r="G72" s="5" t="s">
        <v>1699</v>
      </c>
      <c r="H72" s="5" t="s">
        <v>1700</v>
      </c>
      <c r="I72" s="5" t="s">
        <v>1863</v>
      </c>
      <c r="J72" s="5" t="s">
        <v>1678</v>
      </c>
      <c r="K72" s="5" t="s">
        <v>1679</v>
      </c>
      <c r="L72" s="5" t="s">
        <v>1680</v>
      </c>
      <c r="M72" s="5" t="s">
        <v>1681</v>
      </c>
      <c r="N72" s="5" t="s">
        <v>1682</v>
      </c>
      <c r="O72" s="5" t="s">
        <v>1680</v>
      </c>
      <c r="P72" s="6">
        <v>20863.78</v>
      </c>
      <c r="Q72" s="6">
        <v>25190</v>
      </c>
      <c r="R72" s="6">
        <v>35.19</v>
      </c>
      <c r="S72" s="6">
        <v>4291.03</v>
      </c>
      <c r="T72" s="6">
        <v>0</v>
      </c>
    </row>
    <row r="73" spans="1:20">
      <c r="A73" s="5" t="s">
        <v>1672</v>
      </c>
      <c r="B73" s="5" t="s">
        <v>1673</v>
      </c>
      <c r="C73" s="5" t="s">
        <v>1674</v>
      </c>
      <c r="D73" s="5" t="s">
        <v>2</v>
      </c>
      <c r="E73" s="5" t="s">
        <v>1701</v>
      </c>
      <c r="F73" s="5" t="s">
        <v>1702</v>
      </c>
      <c r="G73" s="5" t="s">
        <v>1701</v>
      </c>
      <c r="H73" s="5" t="s">
        <v>1702</v>
      </c>
      <c r="I73" s="5" t="s">
        <v>1863</v>
      </c>
      <c r="J73" s="5" t="s">
        <v>1678</v>
      </c>
      <c r="K73" s="5" t="s">
        <v>1679</v>
      </c>
      <c r="L73" s="5" t="s">
        <v>1680</v>
      </c>
      <c r="M73" s="5" t="s">
        <v>1681</v>
      </c>
      <c r="N73" s="5" t="s">
        <v>1682</v>
      </c>
      <c r="O73" s="5" t="s">
        <v>1680</v>
      </c>
      <c r="P73" s="6">
        <v>20863.78</v>
      </c>
      <c r="Q73" s="6">
        <v>25190</v>
      </c>
      <c r="R73" s="6">
        <v>35.19</v>
      </c>
      <c r="S73" s="6">
        <v>4291.03</v>
      </c>
      <c r="T73" s="6">
        <v>0</v>
      </c>
    </row>
    <row r="74" spans="1:20">
      <c r="A74" s="5" t="s">
        <v>1672</v>
      </c>
      <c r="B74" s="5" t="s">
        <v>1673</v>
      </c>
      <c r="C74" s="5" t="s">
        <v>1674</v>
      </c>
      <c r="D74" s="5" t="s">
        <v>2</v>
      </c>
      <c r="E74" s="5" t="s">
        <v>1703</v>
      </c>
      <c r="F74" s="5" t="s">
        <v>1704</v>
      </c>
      <c r="G74" s="5" t="s">
        <v>1705</v>
      </c>
      <c r="H74" s="5" t="s">
        <v>1706</v>
      </c>
      <c r="I74" s="5" t="s">
        <v>1863</v>
      </c>
      <c r="J74" s="5" t="s">
        <v>1678</v>
      </c>
      <c r="K74" s="5" t="s">
        <v>1679</v>
      </c>
      <c r="L74" s="5" t="s">
        <v>1680</v>
      </c>
      <c r="M74" s="5" t="s">
        <v>1681</v>
      </c>
      <c r="N74" s="5" t="s">
        <v>1682</v>
      </c>
      <c r="O74" s="5" t="s">
        <v>1680</v>
      </c>
      <c r="P74" s="6">
        <v>20863.78</v>
      </c>
      <c r="Q74" s="6">
        <v>25190</v>
      </c>
      <c r="R74" s="6">
        <v>35.19</v>
      </c>
      <c r="S74" s="6">
        <v>4291.03</v>
      </c>
      <c r="T74" s="6">
        <v>0</v>
      </c>
    </row>
    <row r="75" spans="1:20">
      <c r="A75" s="5" t="s">
        <v>1672</v>
      </c>
      <c r="B75" s="5" t="s">
        <v>1673</v>
      </c>
      <c r="C75" s="5" t="s">
        <v>1674</v>
      </c>
      <c r="D75" s="5" t="s">
        <v>2</v>
      </c>
      <c r="E75" s="5" t="s">
        <v>1707</v>
      </c>
      <c r="F75" s="5" t="s">
        <v>1708</v>
      </c>
      <c r="G75" s="5" t="s">
        <v>1707</v>
      </c>
      <c r="H75" s="5" t="s">
        <v>1708</v>
      </c>
      <c r="I75" s="5" t="s">
        <v>1863</v>
      </c>
      <c r="J75" s="5" t="s">
        <v>1678</v>
      </c>
      <c r="K75" s="5" t="s">
        <v>1679</v>
      </c>
      <c r="L75" s="5" t="s">
        <v>1680</v>
      </c>
      <c r="M75" s="5" t="s">
        <v>1681</v>
      </c>
      <c r="N75" s="5" t="s">
        <v>1682</v>
      </c>
      <c r="O75" s="5" t="s">
        <v>1680</v>
      </c>
      <c r="P75" s="6">
        <v>20863.78</v>
      </c>
      <c r="Q75" s="6">
        <v>25190</v>
      </c>
      <c r="R75" s="6">
        <v>35.19</v>
      </c>
      <c r="S75" s="6">
        <v>4291.03</v>
      </c>
      <c r="T75" s="6">
        <v>0</v>
      </c>
    </row>
    <row r="76" spans="1:20">
      <c r="A76" s="5" t="s">
        <v>1672</v>
      </c>
      <c r="B76" s="5" t="s">
        <v>1673</v>
      </c>
      <c r="C76" s="5" t="s">
        <v>1674</v>
      </c>
      <c r="D76" s="5" t="s">
        <v>2</v>
      </c>
      <c r="E76" s="5" t="s">
        <v>1709</v>
      </c>
      <c r="F76" s="5" t="s">
        <v>1710</v>
      </c>
      <c r="G76" s="5" t="s">
        <v>1709</v>
      </c>
      <c r="H76" s="5" t="s">
        <v>1710</v>
      </c>
      <c r="I76" s="5" t="s">
        <v>1863</v>
      </c>
      <c r="J76" s="5" t="s">
        <v>1678</v>
      </c>
      <c r="K76" s="5" t="s">
        <v>1679</v>
      </c>
      <c r="L76" s="5" t="s">
        <v>1680</v>
      </c>
      <c r="M76" s="5" t="s">
        <v>1681</v>
      </c>
      <c r="N76" s="5" t="s">
        <v>1682</v>
      </c>
      <c r="O76" s="5" t="s">
        <v>1680</v>
      </c>
      <c r="P76" s="6">
        <v>20863.78</v>
      </c>
      <c r="Q76" s="6">
        <v>25190</v>
      </c>
      <c r="R76" s="6">
        <v>35.19</v>
      </c>
      <c r="S76" s="6">
        <v>4291.03</v>
      </c>
      <c r="T76" s="6">
        <v>0</v>
      </c>
    </row>
    <row r="77" spans="1:20">
      <c r="A77" s="5" t="s">
        <v>1672</v>
      </c>
      <c r="B77" s="5" t="s">
        <v>1673</v>
      </c>
      <c r="C77" s="5" t="s">
        <v>1674</v>
      </c>
      <c r="D77" s="5" t="s">
        <v>2</v>
      </c>
      <c r="E77" s="5" t="s">
        <v>1711</v>
      </c>
      <c r="F77" s="5" t="s">
        <v>1712</v>
      </c>
      <c r="G77" s="5" t="s">
        <v>1711</v>
      </c>
      <c r="H77" s="5" t="s">
        <v>1712</v>
      </c>
      <c r="I77" s="5" t="s">
        <v>1863</v>
      </c>
      <c r="J77" s="5" t="s">
        <v>1678</v>
      </c>
      <c r="K77" s="5" t="s">
        <v>1679</v>
      </c>
      <c r="L77" s="5" t="s">
        <v>1680</v>
      </c>
      <c r="M77" s="5" t="s">
        <v>1681</v>
      </c>
      <c r="N77" s="5" t="s">
        <v>1682</v>
      </c>
      <c r="O77" s="5" t="s">
        <v>1680</v>
      </c>
      <c r="P77" s="6">
        <v>20863.78</v>
      </c>
      <c r="Q77" s="6">
        <v>25190</v>
      </c>
      <c r="R77" s="6">
        <v>35.19</v>
      </c>
      <c r="S77" s="6">
        <v>4291.03</v>
      </c>
      <c r="T77" s="6">
        <v>0</v>
      </c>
    </row>
    <row r="78" spans="1:20">
      <c r="A78" s="5" t="s">
        <v>1672</v>
      </c>
      <c r="B78" s="5" t="s">
        <v>1673</v>
      </c>
      <c r="C78" s="5" t="s">
        <v>1674</v>
      </c>
      <c r="D78" s="5" t="s">
        <v>2</v>
      </c>
      <c r="E78" s="5" t="s">
        <v>1713</v>
      </c>
      <c r="F78" s="5" t="s">
        <v>1714</v>
      </c>
      <c r="G78" s="5" t="s">
        <v>1713</v>
      </c>
      <c r="H78" s="5" t="s">
        <v>1714</v>
      </c>
      <c r="I78" s="5" t="s">
        <v>1863</v>
      </c>
      <c r="J78" s="5" t="s">
        <v>1678</v>
      </c>
      <c r="K78" s="5" t="s">
        <v>1679</v>
      </c>
      <c r="L78" s="5" t="s">
        <v>1680</v>
      </c>
      <c r="M78" s="5" t="s">
        <v>1681</v>
      </c>
      <c r="N78" s="5" t="s">
        <v>1682</v>
      </c>
      <c r="O78" s="5" t="s">
        <v>1680</v>
      </c>
      <c r="P78" s="6">
        <v>20863.78</v>
      </c>
      <c r="Q78" s="6">
        <v>25190</v>
      </c>
      <c r="R78" s="6">
        <v>35.19</v>
      </c>
      <c r="S78" s="6">
        <v>4291.03</v>
      </c>
      <c r="T78" s="6">
        <v>0</v>
      </c>
    </row>
    <row r="79" spans="1:20">
      <c r="A79" s="5" t="s">
        <v>1672</v>
      </c>
      <c r="B79" s="5" t="s">
        <v>1673</v>
      </c>
      <c r="C79" s="5" t="s">
        <v>1864</v>
      </c>
      <c r="D79" s="5" t="s">
        <v>309</v>
      </c>
      <c r="E79" s="5" t="s">
        <v>1865</v>
      </c>
      <c r="F79" s="5" t="s">
        <v>1866</v>
      </c>
      <c r="G79" s="5" t="s">
        <v>1865</v>
      </c>
      <c r="H79" s="5" t="s">
        <v>1866</v>
      </c>
      <c r="I79" s="5" t="s">
        <v>1863</v>
      </c>
      <c r="J79" s="5" t="s">
        <v>1678</v>
      </c>
      <c r="K79" s="5" t="s">
        <v>1679</v>
      </c>
      <c r="L79" s="5" t="s">
        <v>1680</v>
      </c>
      <c r="M79" s="5" t="s">
        <v>1681</v>
      </c>
      <c r="N79" s="5" t="s">
        <v>1682</v>
      </c>
      <c r="O79" s="5" t="s">
        <v>1680</v>
      </c>
      <c r="P79" s="6">
        <v>4185</v>
      </c>
      <c r="Q79" s="6">
        <v>4185</v>
      </c>
      <c r="R79" s="6">
        <v>0</v>
      </c>
      <c r="S79" s="6">
        <v>0</v>
      </c>
      <c r="T79" s="6">
        <v>0</v>
      </c>
    </row>
    <row r="80" spans="1:20">
      <c r="A80" s="5" t="s">
        <v>1672</v>
      </c>
      <c r="B80" s="5" t="s">
        <v>1673</v>
      </c>
      <c r="C80" s="5" t="s">
        <v>1864</v>
      </c>
      <c r="D80" s="5" t="s">
        <v>309</v>
      </c>
      <c r="E80" s="5" t="s">
        <v>1867</v>
      </c>
      <c r="F80" s="5" t="s">
        <v>1868</v>
      </c>
      <c r="G80" s="5" t="s">
        <v>1867</v>
      </c>
      <c r="H80" s="5" t="s">
        <v>1868</v>
      </c>
      <c r="I80" s="5" t="s">
        <v>1863</v>
      </c>
      <c r="J80" s="5" t="s">
        <v>1678</v>
      </c>
      <c r="K80" s="5" t="s">
        <v>1679</v>
      </c>
      <c r="L80" s="5" t="s">
        <v>1680</v>
      </c>
      <c r="M80" s="5" t="s">
        <v>1681</v>
      </c>
      <c r="N80" s="5" t="s">
        <v>1682</v>
      </c>
      <c r="O80" s="5" t="s">
        <v>1680</v>
      </c>
      <c r="P80" s="6">
        <v>4185</v>
      </c>
      <c r="Q80" s="6">
        <v>4185</v>
      </c>
      <c r="R80" s="6">
        <v>0</v>
      </c>
      <c r="S80" s="6">
        <v>0</v>
      </c>
      <c r="T80" s="6">
        <v>0</v>
      </c>
    </row>
    <row r="81" spans="1:20">
      <c r="A81" s="5" t="s">
        <v>1672</v>
      </c>
      <c r="B81" s="5" t="s">
        <v>1673</v>
      </c>
      <c r="C81" s="5" t="s">
        <v>1715</v>
      </c>
      <c r="D81" s="5" t="s">
        <v>325</v>
      </c>
      <c r="E81" s="5" t="s">
        <v>1716</v>
      </c>
      <c r="F81" s="5" t="s">
        <v>1717</v>
      </c>
      <c r="G81" s="5" t="s">
        <v>1716</v>
      </c>
      <c r="H81" s="5" t="s">
        <v>1717</v>
      </c>
      <c r="I81" s="5" t="s">
        <v>1863</v>
      </c>
      <c r="J81" s="5" t="s">
        <v>1678</v>
      </c>
      <c r="K81" s="5" t="s">
        <v>1679</v>
      </c>
      <c r="L81" s="5" t="s">
        <v>1680</v>
      </c>
      <c r="M81" s="5" t="s">
        <v>1681</v>
      </c>
      <c r="N81" s="5" t="s">
        <v>1682</v>
      </c>
      <c r="O81" s="5" t="s">
        <v>1680</v>
      </c>
      <c r="P81" s="6">
        <v>10086.4</v>
      </c>
      <c r="Q81" s="6">
        <v>112395</v>
      </c>
      <c r="R81" s="6">
        <v>34000</v>
      </c>
      <c r="S81" s="6">
        <v>68308.600000000006</v>
      </c>
      <c r="T81" s="6">
        <v>0</v>
      </c>
    </row>
    <row r="82" spans="1:20">
      <c r="A82" s="5" t="s">
        <v>1672</v>
      </c>
      <c r="B82" s="5" t="s">
        <v>1673</v>
      </c>
      <c r="C82" s="5" t="s">
        <v>1715</v>
      </c>
      <c r="D82" s="5" t="s">
        <v>325</v>
      </c>
      <c r="E82" s="5" t="s">
        <v>1718</v>
      </c>
      <c r="F82" s="5" t="s">
        <v>1719</v>
      </c>
      <c r="G82" s="5" t="s">
        <v>1718</v>
      </c>
      <c r="H82" s="5" t="s">
        <v>1719</v>
      </c>
      <c r="I82" s="5" t="s">
        <v>1863</v>
      </c>
      <c r="J82" s="5" t="s">
        <v>1678</v>
      </c>
      <c r="K82" s="5" t="s">
        <v>1679</v>
      </c>
      <c r="L82" s="5" t="s">
        <v>1680</v>
      </c>
      <c r="M82" s="5" t="s">
        <v>1681</v>
      </c>
      <c r="N82" s="5" t="s">
        <v>1682</v>
      </c>
      <c r="O82" s="5" t="s">
        <v>1680</v>
      </c>
      <c r="P82" s="6">
        <v>10086.4</v>
      </c>
      <c r="Q82" s="6">
        <v>112395</v>
      </c>
      <c r="R82" s="6">
        <v>34000</v>
      </c>
      <c r="S82" s="6">
        <v>68308.600000000006</v>
      </c>
      <c r="T82" s="6">
        <v>0</v>
      </c>
    </row>
    <row r="83" spans="1:20">
      <c r="A83" s="5" t="s">
        <v>1672</v>
      </c>
      <c r="B83" s="5" t="s">
        <v>1673</v>
      </c>
      <c r="C83" s="5" t="s">
        <v>1715</v>
      </c>
      <c r="D83" s="5" t="s">
        <v>325</v>
      </c>
      <c r="E83" s="5" t="s">
        <v>1720</v>
      </c>
      <c r="F83" s="5" t="s">
        <v>1721</v>
      </c>
      <c r="G83" s="5" t="s">
        <v>1720</v>
      </c>
      <c r="H83" s="5" t="s">
        <v>1721</v>
      </c>
      <c r="I83" s="5" t="s">
        <v>1863</v>
      </c>
      <c r="J83" s="5" t="s">
        <v>1678</v>
      </c>
      <c r="K83" s="5" t="s">
        <v>1679</v>
      </c>
      <c r="L83" s="5" t="s">
        <v>1680</v>
      </c>
      <c r="M83" s="5" t="s">
        <v>1681</v>
      </c>
      <c r="N83" s="5" t="s">
        <v>1682</v>
      </c>
      <c r="O83" s="5" t="s">
        <v>1680</v>
      </c>
      <c r="P83" s="6">
        <v>10086.4</v>
      </c>
      <c r="Q83" s="6">
        <v>112395</v>
      </c>
      <c r="R83" s="6">
        <v>34000</v>
      </c>
      <c r="S83" s="6">
        <v>68308.600000000006</v>
      </c>
      <c r="T83" s="6">
        <v>0</v>
      </c>
    </row>
    <row r="84" spans="1:20">
      <c r="A84" s="5" t="s">
        <v>1672</v>
      </c>
      <c r="B84" s="5" t="s">
        <v>1673</v>
      </c>
      <c r="C84" s="5" t="s">
        <v>1715</v>
      </c>
      <c r="D84" s="5" t="s">
        <v>325</v>
      </c>
      <c r="E84" s="5" t="s">
        <v>1722</v>
      </c>
      <c r="F84" s="5" t="s">
        <v>1723</v>
      </c>
      <c r="G84" s="5" t="s">
        <v>1724</v>
      </c>
      <c r="H84" s="5" t="s">
        <v>1725</v>
      </c>
      <c r="I84" s="5" t="s">
        <v>1863</v>
      </c>
      <c r="J84" s="5" t="s">
        <v>1678</v>
      </c>
      <c r="K84" s="5" t="s">
        <v>1679</v>
      </c>
      <c r="L84" s="5" t="s">
        <v>1680</v>
      </c>
      <c r="M84" s="5" t="s">
        <v>1681</v>
      </c>
      <c r="N84" s="5" t="s">
        <v>1682</v>
      </c>
      <c r="O84" s="5" t="s">
        <v>1680</v>
      </c>
      <c r="P84" s="6">
        <v>10086.4</v>
      </c>
      <c r="Q84" s="6">
        <v>112395</v>
      </c>
      <c r="R84" s="6">
        <v>34000</v>
      </c>
      <c r="S84" s="6">
        <v>68308.600000000006</v>
      </c>
      <c r="T84" s="6">
        <v>0</v>
      </c>
    </row>
    <row r="85" spans="1:20">
      <c r="A85" s="5" t="s">
        <v>1672</v>
      </c>
      <c r="B85" s="5" t="s">
        <v>1673</v>
      </c>
      <c r="C85" s="5" t="s">
        <v>1715</v>
      </c>
      <c r="D85" s="5" t="s">
        <v>325</v>
      </c>
      <c r="E85" s="5" t="s">
        <v>1726</v>
      </c>
      <c r="F85" s="5" t="s">
        <v>1727</v>
      </c>
      <c r="G85" s="5" t="s">
        <v>1726</v>
      </c>
      <c r="H85" s="5" t="s">
        <v>1727</v>
      </c>
      <c r="I85" s="5" t="s">
        <v>1863</v>
      </c>
      <c r="J85" s="5" t="s">
        <v>1678</v>
      </c>
      <c r="K85" s="5" t="s">
        <v>1679</v>
      </c>
      <c r="L85" s="5" t="s">
        <v>1680</v>
      </c>
      <c r="M85" s="5" t="s">
        <v>1681</v>
      </c>
      <c r="N85" s="5" t="s">
        <v>1682</v>
      </c>
      <c r="O85" s="5" t="s">
        <v>1680</v>
      </c>
      <c r="P85" s="6">
        <v>10086.4</v>
      </c>
      <c r="Q85" s="6">
        <v>112395</v>
      </c>
      <c r="R85" s="6">
        <v>34000</v>
      </c>
      <c r="S85" s="6">
        <v>68308.600000000006</v>
      </c>
      <c r="T85" s="6">
        <v>0</v>
      </c>
    </row>
    <row r="86" spans="1:20">
      <c r="A86" s="5" t="s">
        <v>1672</v>
      </c>
      <c r="B86" s="5" t="s">
        <v>1673</v>
      </c>
      <c r="C86" s="5" t="s">
        <v>1715</v>
      </c>
      <c r="D86" s="5" t="s">
        <v>325</v>
      </c>
      <c r="E86" s="5" t="s">
        <v>1728</v>
      </c>
      <c r="F86" s="5" t="s">
        <v>1729</v>
      </c>
      <c r="G86" s="5" t="s">
        <v>1728</v>
      </c>
      <c r="H86" s="5" t="s">
        <v>1729</v>
      </c>
      <c r="I86" s="5" t="s">
        <v>1863</v>
      </c>
      <c r="J86" s="5" t="s">
        <v>1678</v>
      </c>
      <c r="K86" s="5" t="s">
        <v>1679</v>
      </c>
      <c r="L86" s="5" t="s">
        <v>1680</v>
      </c>
      <c r="M86" s="5" t="s">
        <v>1681</v>
      </c>
      <c r="N86" s="5" t="s">
        <v>1682</v>
      </c>
      <c r="O86" s="5" t="s">
        <v>1680</v>
      </c>
      <c r="P86" s="6">
        <v>10086.4</v>
      </c>
      <c r="Q86" s="6">
        <v>112395</v>
      </c>
      <c r="R86" s="6">
        <v>34000</v>
      </c>
      <c r="S86" s="6">
        <v>68308.600000000006</v>
      </c>
      <c r="T86" s="6">
        <v>0</v>
      </c>
    </row>
    <row r="87" spans="1:20">
      <c r="A87" s="5" t="s">
        <v>1672</v>
      </c>
      <c r="B87" s="5" t="s">
        <v>1673</v>
      </c>
      <c r="C87" s="5" t="s">
        <v>1715</v>
      </c>
      <c r="D87" s="5" t="s">
        <v>325</v>
      </c>
      <c r="E87" s="5" t="s">
        <v>1730</v>
      </c>
      <c r="F87" s="5" t="s">
        <v>1731</v>
      </c>
      <c r="G87" s="5" t="s">
        <v>1730</v>
      </c>
      <c r="H87" s="5" t="s">
        <v>1731</v>
      </c>
      <c r="I87" s="5" t="s">
        <v>1863</v>
      </c>
      <c r="J87" s="5" t="s">
        <v>1678</v>
      </c>
      <c r="K87" s="5" t="s">
        <v>1679</v>
      </c>
      <c r="L87" s="5" t="s">
        <v>1680</v>
      </c>
      <c r="M87" s="5" t="s">
        <v>1681</v>
      </c>
      <c r="N87" s="5" t="s">
        <v>1682</v>
      </c>
      <c r="O87" s="5" t="s">
        <v>1680</v>
      </c>
      <c r="P87" s="6">
        <v>10086.4</v>
      </c>
      <c r="Q87" s="6">
        <v>112395</v>
      </c>
      <c r="R87" s="6">
        <v>34000</v>
      </c>
      <c r="S87" s="6">
        <v>68308.600000000006</v>
      </c>
      <c r="T87" s="6">
        <v>0</v>
      </c>
    </row>
    <row r="88" spans="1:20">
      <c r="A88" s="5" t="s">
        <v>1672</v>
      </c>
      <c r="B88" s="5" t="s">
        <v>1673</v>
      </c>
      <c r="C88" s="5" t="s">
        <v>1715</v>
      </c>
      <c r="D88" s="5" t="s">
        <v>325</v>
      </c>
      <c r="E88" s="5" t="s">
        <v>1732</v>
      </c>
      <c r="F88" s="5" t="s">
        <v>1733</v>
      </c>
      <c r="G88" s="5" t="s">
        <v>1732</v>
      </c>
      <c r="H88" s="5" t="s">
        <v>1733</v>
      </c>
      <c r="I88" s="5" t="s">
        <v>1863</v>
      </c>
      <c r="J88" s="5" t="s">
        <v>1678</v>
      </c>
      <c r="K88" s="5" t="s">
        <v>1679</v>
      </c>
      <c r="L88" s="5" t="s">
        <v>1680</v>
      </c>
      <c r="M88" s="5" t="s">
        <v>1681</v>
      </c>
      <c r="N88" s="5" t="s">
        <v>1682</v>
      </c>
      <c r="O88" s="5" t="s">
        <v>1680</v>
      </c>
      <c r="P88" s="6">
        <v>10086.4</v>
      </c>
      <c r="Q88" s="6">
        <v>112395</v>
      </c>
      <c r="R88" s="6">
        <v>34000</v>
      </c>
      <c r="S88" s="6">
        <v>68308.600000000006</v>
      </c>
      <c r="T88" s="6">
        <v>0</v>
      </c>
    </row>
    <row r="89" spans="1:20">
      <c r="A89" s="5" t="s">
        <v>1672</v>
      </c>
      <c r="B89" s="5" t="s">
        <v>1673</v>
      </c>
      <c r="C89" s="5" t="s">
        <v>1715</v>
      </c>
      <c r="D89" s="5" t="s">
        <v>325</v>
      </c>
      <c r="E89" s="5" t="s">
        <v>1734</v>
      </c>
      <c r="F89" s="5" t="s">
        <v>1735</v>
      </c>
      <c r="G89" s="5" t="s">
        <v>1734</v>
      </c>
      <c r="H89" s="5" t="s">
        <v>1735</v>
      </c>
      <c r="I89" s="5" t="s">
        <v>1863</v>
      </c>
      <c r="J89" s="5" t="s">
        <v>1678</v>
      </c>
      <c r="K89" s="5" t="s">
        <v>1679</v>
      </c>
      <c r="L89" s="5" t="s">
        <v>1680</v>
      </c>
      <c r="M89" s="5" t="s">
        <v>1681</v>
      </c>
      <c r="N89" s="5" t="s">
        <v>1682</v>
      </c>
      <c r="O89" s="5" t="s">
        <v>1680</v>
      </c>
      <c r="P89" s="6">
        <v>10086.4</v>
      </c>
      <c r="Q89" s="6">
        <v>112395</v>
      </c>
      <c r="R89" s="6">
        <v>34000</v>
      </c>
      <c r="S89" s="6">
        <v>68308.600000000006</v>
      </c>
      <c r="T89" s="6">
        <v>0</v>
      </c>
    </row>
    <row r="90" spans="1:20">
      <c r="A90" s="5" t="s">
        <v>1672</v>
      </c>
      <c r="B90" s="5" t="s">
        <v>1673</v>
      </c>
      <c r="C90" s="5" t="s">
        <v>1715</v>
      </c>
      <c r="D90" s="5" t="s">
        <v>325</v>
      </c>
      <c r="E90" s="5" t="s">
        <v>1736</v>
      </c>
      <c r="F90" s="5" t="s">
        <v>1737</v>
      </c>
      <c r="G90" s="5" t="s">
        <v>1738</v>
      </c>
      <c r="H90" s="5" t="s">
        <v>1739</v>
      </c>
      <c r="I90" s="5" t="s">
        <v>1863</v>
      </c>
      <c r="J90" s="5" t="s">
        <v>1678</v>
      </c>
      <c r="K90" s="5" t="s">
        <v>1679</v>
      </c>
      <c r="L90" s="5" t="s">
        <v>1680</v>
      </c>
      <c r="M90" s="5" t="s">
        <v>1681</v>
      </c>
      <c r="N90" s="5" t="s">
        <v>1682</v>
      </c>
      <c r="O90" s="5" t="s">
        <v>1680</v>
      </c>
      <c r="P90" s="6">
        <v>10086.4</v>
      </c>
      <c r="Q90" s="6">
        <v>112395</v>
      </c>
      <c r="R90" s="6">
        <v>34000</v>
      </c>
      <c r="S90" s="6">
        <v>68308.600000000006</v>
      </c>
      <c r="T90" s="6">
        <v>0</v>
      </c>
    </row>
    <row r="91" spans="1:20">
      <c r="A91" s="5" t="s">
        <v>1672</v>
      </c>
      <c r="B91" s="5" t="s">
        <v>1673</v>
      </c>
      <c r="C91" s="5" t="s">
        <v>1715</v>
      </c>
      <c r="D91" s="5" t="s">
        <v>325</v>
      </c>
      <c r="E91" s="5" t="s">
        <v>1740</v>
      </c>
      <c r="F91" s="5" t="s">
        <v>1741</v>
      </c>
      <c r="G91" s="5" t="s">
        <v>1740</v>
      </c>
      <c r="H91" s="5" t="s">
        <v>1741</v>
      </c>
      <c r="I91" s="5" t="s">
        <v>1863</v>
      </c>
      <c r="J91" s="5" t="s">
        <v>1678</v>
      </c>
      <c r="K91" s="5" t="s">
        <v>1679</v>
      </c>
      <c r="L91" s="5" t="s">
        <v>1680</v>
      </c>
      <c r="M91" s="5" t="s">
        <v>1681</v>
      </c>
      <c r="N91" s="5" t="s">
        <v>1682</v>
      </c>
      <c r="O91" s="5" t="s">
        <v>1680</v>
      </c>
      <c r="P91" s="6">
        <v>10086.4</v>
      </c>
      <c r="Q91" s="6">
        <v>112395</v>
      </c>
      <c r="R91" s="6">
        <v>34000</v>
      </c>
      <c r="S91" s="6">
        <v>68308.600000000006</v>
      </c>
      <c r="T91" s="6">
        <v>0</v>
      </c>
    </row>
    <row r="92" spans="1:20">
      <c r="A92" s="5" t="s">
        <v>1672</v>
      </c>
      <c r="B92" s="5" t="s">
        <v>1673</v>
      </c>
      <c r="C92" s="5" t="s">
        <v>1715</v>
      </c>
      <c r="D92" s="5" t="s">
        <v>325</v>
      </c>
      <c r="E92" s="5" t="s">
        <v>1742</v>
      </c>
      <c r="F92" s="5" t="s">
        <v>1743</v>
      </c>
      <c r="G92" s="5" t="s">
        <v>1744</v>
      </c>
      <c r="H92" s="5" t="s">
        <v>1745</v>
      </c>
      <c r="I92" s="5" t="s">
        <v>1863</v>
      </c>
      <c r="J92" s="5" t="s">
        <v>1678</v>
      </c>
      <c r="K92" s="5" t="s">
        <v>1679</v>
      </c>
      <c r="L92" s="5" t="s">
        <v>1680</v>
      </c>
      <c r="M92" s="5" t="s">
        <v>1681</v>
      </c>
      <c r="N92" s="5" t="s">
        <v>1682</v>
      </c>
      <c r="O92" s="5" t="s">
        <v>1680</v>
      </c>
      <c r="P92" s="6">
        <v>10086.4</v>
      </c>
      <c r="Q92" s="6">
        <v>112395</v>
      </c>
      <c r="R92" s="6">
        <v>34000</v>
      </c>
      <c r="S92" s="6">
        <v>68308.600000000006</v>
      </c>
      <c r="T92" s="6">
        <v>0</v>
      </c>
    </row>
    <row r="93" spans="1:20">
      <c r="A93" s="5" t="s">
        <v>1672</v>
      </c>
      <c r="B93" s="5" t="s">
        <v>1673</v>
      </c>
      <c r="C93" s="5" t="s">
        <v>1715</v>
      </c>
      <c r="D93" s="5" t="s">
        <v>325</v>
      </c>
      <c r="E93" s="5" t="s">
        <v>1746</v>
      </c>
      <c r="F93" s="5" t="s">
        <v>1747</v>
      </c>
      <c r="G93" s="5" t="s">
        <v>1748</v>
      </c>
      <c r="H93" s="5" t="s">
        <v>1749</v>
      </c>
      <c r="I93" s="5" t="s">
        <v>1863</v>
      </c>
      <c r="J93" s="5" t="s">
        <v>1678</v>
      </c>
      <c r="K93" s="5" t="s">
        <v>1679</v>
      </c>
      <c r="L93" s="5" t="s">
        <v>1680</v>
      </c>
      <c r="M93" s="5" t="s">
        <v>1681</v>
      </c>
      <c r="N93" s="5" t="s">
        <v>1682</v>
      </c>
      <c r="O93" s="5" t="s">
        <v>1680</v>
      </c>
      <c r="P93" s="6">
        <v>10086.4</v>
      </c>
      <c r="Q93" s="6">
        <v>112395</v>
      </c>
      <c r="R93" s="6">
        <v>34000</v>
      </c>
      <c r="S93" s="6">
        <v>68308.600000000006</v>
      </c>
      <c r="T93" s="6">
        <v>0</v>
      </c>
    </row>
    <row r="94" spans="1:20">
      <c r="A94" s="5" t="s">
        <v>1672</v>
      </c>
      <c r="B94" s="5" t="s">
        <v>1673</v>
      </c>
      <c r="C94" s="5" t="s">
        <v>1715</v>
      </c>
      <c r="D94" s="5" t="s">
        <v>325</v>
      </c>
      <c r="E94" s="5" t="s">
        <v>1750</v>
      </c>
      <c r="F94" s="5" t="s">
        <v>1751</v>
      </c>
      <c r="G94" s="5" t="s">
        <v>1752</v>
      </c>
      <c r="H94" s="5" t="s">
        <v>1753</v>
      </c>
      <c r="I94" s="5" t="s">
        <v>1863</v>
      </c>
      <c r="J94" s="5" t="s">
        <v>1678</v>
      </c>
      <c r="K94" s="5" t="s">
        <v>1679</v>
      </c>
      <c r="L94" s="5" t="s">
        <v>1680</v>
      </c>
      <c r="M94" s="5" t="s">
        <v>1681</v>
      </c>
      <c r="N94" s="5" t="s">
        <v>1682</v>
      </c>
      <c r="O94" s="5" t="s">
        <v>1680</v>
      </c>
      <c r="P94" s="6">
        <v>10086.4</v>
      </c>
      <c r="Q94" s="6">
        <v>112395</v>
      </c>
      <c r="R94" s="6">
        <v>34000</v>
      </c>
      <c r="S94" s="6">
        <v>68308.600000000006</v>
      </c>
      <c r="T94" s="6">
        <v>0</v>
      </c>
    </row>
    <row r="95" spans="1:20">
      <c r="A95" s="5" t="s">
        <v>1672</v>
      </c>
      <c r="B95" s="5" t="s">
        <v>1673</v>
      </c>
      <c r="C95" s="5" t="s">
        <v>1715</v>
      </c>
      <c r="D95" s="5" t="s">
        <v>325</v>
      </c>
      <c r="E95" s="5" t="s">
        <v>1754</v>
      </c>
      <c r="F95" s="5" t="s">
        <v>1755</v>
      </c>
      <c r="G95" s="5" t="s">
        <v>1756</v>
      </c>
      <c r="H95" s="5" t="s">
        <v>1757</v>
      </c>
      <c r="I95" s="5" t="s">
        <v>1863</v>
      </c>
      <c r="J95" s="5" t="s">
        <v>1678</v>
      </c>
      <c r="K95" s="5" t="s">
        <v>1679</v>
      </c>
      <c r="L95" s="5" t="s">
        <v>1680</v>
      </c>
      <c r="M95" s="5" t="s">
        <v>1681</v>
      </c>
      <c r="N95" s="5" t="s">
        <v>1682</v>
      </c>
      <c r="O95" s="5" t="s">
        <v>1680</v>
      </c>
      <c r="P95" s="6">
        <v>10086.4</v>
      </c>
      <c r="Q95" s="6">
        <v>112395</v>
      </c>
      <c r="R95" s="6">
        <v>34000</v>
      </c>
      <c r="S95" s="6">
        <v>68308.600000000006</v>
      </c>
      <c r="T95" s="6">
        <v>0</v>
      </c>
    </row>
    <row r="96" spans="1:20">
      <c r="A96" s="5" t="s">
        <v>1672</v>
      </c>
      <c r="B96" s="5" t="s">
        <v>1673</v>
      </c>
      <c r="C96" s="5" t="s">
        <v>1715</v>
      </c>
      <c r="D96" s="5" t="s">
        <v>325</v>
      </c>
      <c r="E96" s="5" t="s">
        <v>1758</v>
      </c>
      <c r="F96" s="5" t="s">
        <v>1759</v>
      </c>
      <c r="G96" s="5" t="s">
        <v>1758</v>
      </c>
      <c r="H96" s="5" t="s">
        <v>1759</v>
      </c>
      <c r="I96" s="5" t="s">
        <v>1863</v>
      </c>
      <c r="J96" s="5" t="s">
        <v>1678</v>
      </c>
      <c r="K96" s="5" t="s">
        <v>1679</v>
      </c>
      <c r="L96" s="5" t="s">
        <v>1680</v>
      </c>
      <c r="M96" s="5" t="s">
        <v>1681</v>
      </c>
      <c r="N96" s="5" t="s">
        <v>1682</v>
      </c>
      <c r="O96" s="5" t="s">
        <v>1680</v>
      </c>
      <c r="P96" s="6">
        <v>10086.4</v>
      </c>
      <c r="Q96" s="6">
        <v>112395</v>
      </c>
      <c r="R96" s="6">
        <v>34000</v>
      </c>
      <c r="S96" s="6">
        <v>68308.600000000006</v>
      </c>
      <c r="T96" s="6">
        <v>0</v>
      </c>
    </row>
    <row r="97" spans="1:20">
      <c r="A97" s="5" t="s">
        <v>1672</v>
      </c>
      <c r="B97" s="5" t="s">
        <v>1673</v>
      </c>
      <c r="C97" s="5" t="s">
        <v>1715</v>
      </c>
      <c r="D97" s="5" t="s">
        <v>325</v>
      </c>
      <c r="E97" s="5" t="s">
        <v>1760</v>
      </c>
      <c r="F97" s="5" t="s">
        <v>1761</v>
      </c>
      <c r="G97" s="5" t="s">
        <v>1760</v>
      </c>
      <c r="H97" s="5" t="s">
        <v>1761</v>
      </c>
      <c r="I97" s="5" t="s">
        <v>1863</v>
      </c>
      <c r="J97" s="5" t="s">
        <v>1678</v>
      </c>
      <c r="K97" s="5" t="s">
        <v>1679</v>
      </c>
      <c r="L97" s="5" t="s">
        <v>1680</v>
      </c>
      <c r="M97" s="5" t="s">
        <v>1681</v>
      </c>
      <c r="N97" s="5" t="s">
        <v>1682</v>
      </c>
      <c r="O97" s="5" t="s">
        <v>1680</v>
      </c>
      <c r="P97" s="6">
        <v>10086.4</v>
      </c>
      <c r="Q97" s="6">
        <v>112395</v>
      </c>
      <c r="R97" s="6">
        <v>34000</v>
      </c>
      <c r="S97" s="6">
        <v>68308.600000000006</v>
      </c>
      <c r="T97" s="6">
        <v>0</v>
      </c>
    </row>
    <row r="98" spans="1:20">
      <c r="A98" s="5" t="s">
        <v>1672</v>
      </c>
      <c r="B98" s="5" t="s">
        <v>1673</v>
      </c>
      <c r="C98" s="5" t="s">
        <v>1715</v>
      </c>
      <c r="D98" s="5" t="s">
        <v>325</v>
      </c>
      <c r="E98" s="5" t="s">
        <v>1762</v>
      </c>
      <c r="F98" s="5" t="s">
        <v>1763</v>
      </c>
      <c r="G98" s="5" t="s">
        <v>1764</v>
      </c>
      <c r="H98" s="5" t="s">
        <v>1765</v>
      </c>
      <c r="I98" s="5" t="s">
        <v>1863</v>
      </c>
      <c r="J98" s="5" t="s">
        <v>1678</v>
      </c>
      <c r="K98" s="5" t="s">
        <v>1679</v>
      </c>
      <c r="L98" s="5" t="s">
        <v>1680</v>
      </c>
      <c r="M98" s="5" t="s">
        <v>1681</v>
      </c>
      <c r="N98" s="5" t="s">
        <v>1682</v>
      </c>
      <c r="O98" s="5" t="s">
        <v>1680</v>
      </c>
      <c r="P98" s="6">
        <v>10086.4</v>
      </c>
      <c r="Q98" s="6">
        <v>112395</v>
      </c>
      <c r="R98" s="6">
        <v>34000</v>
      </c>
      <c r="S98" s="6">
        <v>68308.600000000006</v>
      </c>
      <c r="T98" s="6">
        <v>0</v>
      </c>
    </row>
    <row r="99" spans="1:20">
      <c r="A99" s="5" t="s">
        <v>1672</v>
      </c>
      <c r="B99" s="5" t="s">
        <v>1673</v>
      </c>
      <c r="C99" s="5" t="s">
        <v>1715</v>
      </c>
      <c r="D99" s="5" t="s">
        <v>325</v>
      </c>
      <c r="E99" s="5" t="s">
        <v>1766</v>
      </c>
      <c r="F99" s="5" t="s">
        <v>1767</v>
      </c>
      <c r="G99" s="5" t="s">
        <v>1766</v>
      </c>
      <c r="H99" s="5" t="s">
        <v>1767</v>
      </c>
      <c r="I99" s="5" t="s">
        <v>1863</v>
      </c>
      <c r="J99" s="5" t="s">
        <v>1678</v>
      </c>
      <c r="K99" s="5" t="s">
        <v>1679</v>
      </c>
      <c r="L99" s="5" t="s">
        <v>1680</v>
      </c>
      <c r="M99" s="5" t="s">
        <v>1681</v>
      </c>
      <c r="N99" s="5" t="s">
        <v>1682</v>
      </c>
      <c r="O99" s="5" t="s">
        <v>1680</v>
      </c>
      <c r="P99" s="6">
        <v>10086.4</v>
      </c>
      <c r="Q99" s="6">
        <v>112395</v>
      </c>
      <c r="R99" s="6">
        <v>34000</v>
      </c>
      <c r="S99" s="6">
        <v>68308.600000000006</v>
      </c>
      <c r="T99" s="6">
        <v>0</v>
      </c>
    </row>
    <row r="100" spans="1:20">
      <c r="A100" s="5" t="s">
        <v>1672</v>
      </c>
      <c r="B100" s="5" t="s">
        <v>1673</v>
      </c>
      <c r="C100" s="5" t="s">
        <v>1715</v>
      </c>
      <c r="D100" s="5" t="s">
        <v>325</v>
      </c>
      <c r="E100" s="5" t="s">
        <v>1768</v>
      </c>
      <c r="F100" s="5" t="s">
        <v>1769</v>
      </c>
      <c r="G100" s="5" t="s">
        <v>1770</v>
      </c>
      <c r="H100" s="5" t="s">
        <v>1771</v>
      </c>
      <c r="I100" s="5" t="s">
        <v>1863</v>
      </c>
      <c r="J100" s="5" t="s">
        <v>1678</v>
      </c>
      <c r="K100" s="5" t="s">
        <v>1679</v>
      </c>
      <c r="L100" s="5" t="s">
        <v>1680</v>
      </c>
      <c r="M100" s="5" t="s">
        <v>1681</v>
      </c>
      <c r="N100" s="5" t="s">
        <v>1682</v>
      </c>
      <c r="O100" s="5" t="s">
        <v>1680</v>
      </c>
      <c r="P100" s="6">
        <v>10086.4</v>
      </c>
      <c r="Q100" s="6">
        <v>112395</v>
      </c>
      <c r="R100" s="6">
        <v>34000</v>
      </c>
      <c r="S100" s="6">
        <v>68308.600000000006</v>
      </c>
      <c r="T100" s="6">
        <v>0</v>
      </c>
    </row>
    <row r="101" spans="1:20">
      <c r="A101" s="5" t="s">
        <v>1672</v>
      </c>
      <c r="B101" s="5" t="s">
        <v>1673</v>
      </c>
      <c r="C101" s="5" t="s">
        <v>1715</v>
      </c>
      <c r="D101" s="5" t="s">
        <v>325</v>
      </c>
      <c r="E101" s="5" t="s">
        <v>1772</v>
      </c>
      <c r="F101" s="5" t="s">
        <v>1773</v>
      </c>
      <c r="G101" s="5" t="s">
        <v>1774</v>
      </c>
      <c r="H101" s="5" t="s">
        <v>1775</v>
      </c>
      <c r="I101" s="5" t="s">
        <v>1863</v>
      </c>
      <c r="J101" s="5" t="s">
        <v>1678</v>
      </c>
      <c r="K101" s="5" t="s">
        <v>1679</v>
      </c>
      <c r="L101" s="5" t="s">
        <v>1680</v>
      </c>
      <c r="M101" s="5" t="s">
        <v>1681</v>
      </c>
      <c r="N101" s="5" t="s">
        <v>1682</v>
      </c>
      <c r="O101" s="5" t="s">
        <v>1680</v>
      </c>
      <c r="P101" s="6">
        <v>10086.4</v>
      </c>
      <c r="Q101" s="6">
        <v>112395</v>
      </c>
      <c r="R101" s="6">
        <v>34000</v>
      </c>
      <c r="S101" s="6">
        <v>68308.600000000006</v>
      </c>
      <c r="T101" s="6">
        <v>0</v>
      </c>
    </row>
    <row r="102" spans="1:20">
      <c r="A102" s="5" t="s">
        <v>1672</v>
      </c>
      <c r="B102" s="5" t="s">
        <v>1673</v>
      </c>
      <c r="C102" s="5" t="s">
        <v>1715</v>
      </c>
      <c r="D102" s="5" t="s">
        <v>325</v>
      </c>
      <c r="E102" s="5" t="s">
        <v>1776</v>
      </c>
      <c r="F102" s="5" t="s">
        <v>1777</v>
      </c>
      <c r="G102" s="5" t="s">
        <v>1778</v>
      </c>
      <c r="H102" s="5" t="s">
        <v>1779</v>
      </c>
      <c r="I102" s="5" t="s">
        <v>1863</v>
      </c>
      <c r="J102" s="5" t="s">
        <v>1678</v>
      </c>
      <c r="K102" s="5" t="s">
        <v>1679</v>
      </c>
      <c r="L102" s="5" t="s">
        <v>1680</v>
      </c>
      <c r="M102" s="5" t="s">
        <v>1681</v>
      </c>
      <c r="N102" s="5" t="s">
        <v>1682</v>
      </c>
      <c r="O102" s="5" t="s">
        <v>1680</v>
      </c>
      <c r="P102" s="6">
        <v>10086.4</v>
      </c>
      <c r="Q102" s="6">
        <v>112395</v>
      </c>
      <c r="R102" s="6">
        <v>34000</v>
      </c>
      <c r="S102" s="6">
        <v>68308.600000000006</v>
      </c>
      <c r="T102" s="6">
        <v>0</v>
      </c>
    </row>
    <row r="103" spans="1:20">
      <c r="A103" s="5" t="s">
        <v>1672</v>
      </c>
      <c r="B103" s="5" t="s">
        <v>1673</v>
      </c>
      <c r="C103" s="5" t="s">
        <v>1715</v>
      </c>
      <c r="D103" s="5" t="s">
        <v>325</v>
      </c>
      <c r="E103" s="5" t="s">
        <v>1780</v>
      </c>
      <c r="F103" s="5" t="s">
        <v>1781</v>
      </c>
      <c r="G103" s="5" t="s">
        <v>1780</v>
      </c>
      <c r="H103" s="5" t="s">
        <v>1781</v>
      </c>
      <c r="I103" s="5" t="s">
        <v>1863</v>
      </c>
      <c r="J103" s="5" t="s">
        <v>1678</v>
      </c>
      <c r="K103" s="5" t="s">
        <v>1679</v>
      </c>
      <c r="L103" s="5" t="s">
        <v>1680</v>
      </c>
      <c r="M103" s="5" t="s">
        <v>1681</v>
      </c>
      <c r="N103" s="5" t="s">
        <v>1682</v>
      </c>
      <c r="O103" s="5" t="s">
        <v>1680</v>
      </c>
      <c r="P103" s="6">
        <v>10086.4</v>
      </c>
      <c r="Q103" s="6">
        <v>112395</v>
      </c>
      <c r="R103" s="6">
        <v>34000</v>
      </c>
      <c r="S103" s="6">
        <v>68308.600000000006</v>
      </c>
      <c r="T103" s="6">
        <v>0</v>
      </c>
    </row>
    <row r="104" spans="1:20">
      <c r="A104" s="5" t="s">
        <v>1672</v>
      </c>
      <c r="B104" s="5" t="s">
        <v>1673</v>
      </c>
      <c r="C104" s="5" t="s">
        <v>1715</v>
      </c>
      <c r="D104" s="5" t="s">
        <v>325</v>
      </c>
      <c r="E104" s="5" t="s">
        <v>1782</v>
      </c>
      <c r="F104" s="5" t="s">
        <v>1783</v>
      </c>
      <c r="G104" s="5" t="s">
        <v>1782</v>
      </c>
      <c r="H104" s="5" t="s">
        <v>1783</v>
      </c>
      <c r="I104" s="5" t="s">
        <v>1863</v>
      </c>
      <c r="J104" s="5" t="s">
        <v>1678</v>
      </c>
      <c r="K104" s="5" t="s">
        <v>1679</v>
      </c>
      <c r="L104" s="5" t="s">
        <v>1680</v>
      </c>
      <c r="M104" s="5" t="s">
        <v>1681</v>
      </c>
      <c r="N104" s="5" t="s">
        <v>1682</v>
      </c>
      <c r="O104" s="5" t="s">
        <v>1680</v>
      </c>
      <c r="P104" s="6">
        <v>10086.4</v>
      </c>
      <c r="Q104" s="6">
        <v>112395</v>
      </c>
      <c r="R104" s="6">
        <v>34000</v>
      </c>
      <c r="S104" s="6">
        <v>68308.600000000006</v>
      </c>
      <c r="T104" s="6">
        <v>0</v>
      </c>
    </row>
    <row r="105" spans="1:20">
      <c r="A105" s="5" t="s">
        <v>1672</v>
      </c>
      <c r="B105" s="5" t="s">
        <v>1673</v>
      </c>
      <c r="C105" s="5" t="s">
        <v>1715</v>
      </c>
      <c r="D105" s="5" t="s">
        <v>325</v>
      </c>
      <c r="E105" s="5" t="s">
        <v>1784</v>
      </c>
      <c r="F105" s="5" t="s">
        <v>1785</v>
      </c>
      <c r="G105" s="5" t="s">
        <v>1786</v>
      </c>
      <c r="H105" s="5" t="s">
        <v>1787</v>
      </c>
      <c r="I105" s="5" t="s">
        <v>1863</v>
      </c>
      <c r="J105" s="5" t="s">
        <v>1678</v>
      </c>
      <c r="K105" s="5" t="s">
        <v>1679</v>
      </c>
      <c r="L105" s="5" t="s">
        <v>1680</v>
      </c>
      <c r="M105" s="5" t="s">
        <v>1681</v>
      </c>
      <c r="N105" s="5" t="s">
        <v>1682</v>
      </c>
      <c r="O105" s="5" t="s">
        <v>1680</v>
      </c>
      <c r="P105" s="6">
        <v>10086.4</v>
      </c>
      <c r="Q105" s="6">
        <v>112395</v>
      </c>
      <c r="R105" s="6">
        <v>34000</v>
      </c>
      <c r="S105" s="6">
        <v>68308.600000000006</v>
      </c>
      <c r="T105" s="6">
        <v>0</v>
      </c>
    </row>
    <row r="106" spans="1:20">
      <c r="A106" s="5" t="s">
        <v>1672</v>
      </c>
      <c r="B106" s="5" t="s">
        <v>1673</v>
      </c>
      <c r="C106" s="5" t="s">
        <v>1715</v>
      </c>
      <c r="D106" s="5" t="s">
        <v>325</v>
      </c>
      <c r="E106" s="5" t="s">
        <v>1788</v>
      </c>
      <c r="F106" s="5" t="s">
        <v>1789</v>
      </c>
      <c r="G106" s="5" t="s">
        <v>1790</v>
      </c>
      <c r="H106" s="5" t="s">
        <v>1791</v>
      </c>
      <c r="I106" s="5" t="s">
        <v>1863</v>
      </c>
      <c r="J106" s="5" t="s">
        <v>1678</v>
      </c>
      <c r="K106" s="5" t="s">
        <v>1679</v>
      </c>
      <c r="L106" s="5" t="s">
        <v>1680</v>
      </c>
      <c r="M106" s="5" t="s">
        <v>1681</v>
      </c>
      <c r="N106" s="5" t="s">
        <v>1682</v>
      </c>
      <c r="O106" s="5" t="s">
        <v>1680</v>
      </c>
      <c r="P106" s="6">
        <v>10086.4</v>
      </c>
      <c r="Q106" s="6">
        <v>112395</v>
      </c>
      <c r="R106" s="6">
        <v>34000</v>
      </c>
      <c r="S106" s="6">
        <v>68308.600000000006</v>
      </c>
      <c r="T106" s="6">
        <v>0</v>
      </c>
    </row>
    <row r="107" spans="1:20">
      <c r="A107" s="5" t="s">
        <v>1672</v>
      </c>
      <c r="B107" s="5" t="s">
        <v>1673</v>
      </c>
      <c r="C107" s="5" t="s">
        <v>1715</v>
      </c>
      <c r="D107" s="5" t="s">
        <v>325</v>
      </c>
      <c r="E107" s="5" t="s">
        <v>1792</v>
      </c>
      <c r="F107" s="5" t="s">
        <v>1793</v>
      </c>
      <c r="G107" s="5" t="s">
        <v>1794</v>
      </c>
      <c r="H107" s="5" t="s">
        <v>1795</v>
      </c>
      <c r="I107" s="5" t="s">
        <v>1863</v>
      </c>
      <c r="J107" s="5" t="s">
        <v>1678</v>
      </c>
      <c r="K107" s="5" t="s">
        <v>1679</v>
      </c>
      <c r="L107" s="5" t="s">
        <v>1680</v>
      </c>
      <c r="M107" s="5" t="s">
        <v>1681</v>
      </c>
      <c r="N107" s="5" t="s">
        <v>1682</v>
      </c>
      <c r="O107" s="5" t="s">
        <v>1680</v>
      </c>
      <c r="P107" s="6">
        <v>10086.4</v>
      </c>
      <c r="Q107" s="6">
        <v>112395</v>
      </c>
      <c r="R107" s="6">
        <v>34000</v>
      </c>
      <c r="S107" s="6">
        <v>68308.600000000006</v>
      </c>
      <c r="T107" s="6">
        <v>0</v>
      </c>
    </row>
    <row r="108" spans="1:20">
      <c r="A108" s="5" t="s">
        <v>1672</v>
      </c>
      <c r="B108" s="5" t="s">
        <v>1673</v>
      </c>
      <c r="C108" s="5" t="s">
        <v>1715</v>
      </c>
      <c r="D108" s="5" t="s">
        <v>325</v>
      </c>
      <c r="E108" s="5" t="s">
        <v>1796</v>
      </c>
      <c r="F108" s="5" t="s">
        <v>1797</v>
      </c>
      <c r="G108" s="5" t="s">
        <v>1796</v>
      </c>
      <c r="H108" s="5" t="s">
        <v>1797</v>
      </c>
      <c r="I108" s="5" t="s">
        <v>1863</v>
      </c>
      <c r="J108" s="5" t="s">
        <v>1678</v>
      </c>
      <c r="K108" s="5" t="s">
        <v>1679</v>
      </c>
      <c r="L108" s="5" t="s">
        <v>1680</v>
      </c>
      <c r="M108" s="5" t="s">
        <v>1681</v>
      </c>
      <c r="N108" s="5" t="s">
        <v>1682</v>
      </c>
      <c r="O108" s="5" t="s">
        <v>1680</v>
      </c>
      <c r="P108" s="6">
        <v>10086.4</v>
      </c>
      <c r="Q108" s="6">
        <v>112395</v>
      </c>
      <c r="R108" s="6">
        <v>34000</v>
      </c>
      <c r="S108" s="6">
        <v>68308.600000000006</v>
      </c>
      <c r="T108" s="6">
        <v>0</v>
      </c>
    </row>
    <row r="109" spans="1:20">
      <c r="A109" s="5" t="s">
        <v>1672</v>
      </c>
      <c r="B109" s="5" t="s">
        <v>1673</v>
      </c>
      <c r="C109" s="5" t="s">
        <v>1715</v>
      </c>
      <c r="D109" s="5" t="s">
        <v>325</v>
      </c>
      <c r="E109" s="5" t="s">
        <v>1798</v>
      </c>
      <c r="F109" s="5" t="s">
        <v>1799</v>
      </c>
      <c r="G109" s="5" t="s">
        <v>1798</v>
      </c>
      <c r="H109" s="5" t="s">
        <v>1799</v>
      </c>
      <c r="I109" s="5" t="s">
        <v>1863</v>
      </c>
      <c r="J109" s="5" t="s">
        <v>1678</v>
      </c>
      <c r="K109" s="5" t="s">
        <v>1679</v>
      </c>
      <c r="L109" s="5" t="s">
        <v>1680</v>
      </c>
      <c r="M109" s="5" t="s">
        <v>1681</v>
      </c>
      <c r="N109" s="5" t="s">
        <v>1682</v>
      </c>
      <c r="O109" s="5" t="s">
        <v>1680</v>
      </c>
      <c r="P109" s="6">
        <v>10086.4</v>
      </c>
      <c r="Q109" s="6">
        <v>112395</v>
      </c>
      <c r="R109" s="6">
        <v>34000</v>
      </c>
      <c r="S109" s="6">
        <v>68308.600000000006</v>
      </c>
      <c r="T109" s="6">
        <v>0</v>
      </c>
    </row>
    <row r="110" spans="1:20">
      <c r="A110" s="5" t="s">
        <v>1672</v>
      </c>
      <c r="B110" s="5" t="s">
        <v>1673</v>
      </c>
      <c r="C110" s="5" t="s">
        <v>1715</v>
      </c>
      <c r="D110" s="5" t="s">
        <v>325</v>
      </c>
      <c r="E110" s="5" t="s">
        <v>1800</v>
      </c>
      <c r="F110" s="5" t="s">
        <v>1801</v>
      </c>
      <c r="G110" s="5" t="s">
        <v>1800</v>
      </c>
      <c r="H110" s="5" t="s">
        <v>1801</v>
      </c>
      <c r="I110" s="5" t="s">
        <v>1863</v>
      </c>
      <c r="J110" s="5" t="s">
        <v>1678</v>
      </c>
      <c r="K110" s="5" t="s">
        <v>1679</v>
      </c>
      <c r="L110" s="5" t="s">
        <v>1680</v>
      </c>
      <c r="M110" s="5" t="s">
        <v>1681</v>
      </c>
      <c r="N110" s="5" t="s">
        <v>1682</v>
      </c>
      <c r="O110" s="5" t="s">
        <v>1680</v>
      </c>
      <c r="P110" s="6">
        <v>10086.4</v>
      </c>
      <c r="Q110" s="6">
        <v>112395</v>
      </c>
      <c r="R110" s="6">
        <v>34000</v>
      </c>
      <c r="S110" s="6">
        <v>68308.600000000006</v>
      </c>
      <c r="T110" s="6">
        <v>0</v>
      </c>
    </row>
    <row r="111" spans="1:20">
      <c r="A111" s="5" t="s">
        <v>1672</v>
      </c>
      <c r="B111" s="5" t="s">
        <v>1673</v>
      </c>
      <c r="C111" s="5" t="s">
        <v>1715</v>
      </c>
      <c r="D111" s="5" t="s">
        <v>325</v>
      </c>
      <c r="E111" s="5" t="s">
        <v>1802</v>
      </c>
      <c r="F111" s="5" t="s">
        <v>1803</v>
      </c>
      <c r="G111" s="5" t="s">
        <v>1804</v>
      </c>
      <c r="H111" s="5" t="s">
        <v>1805</v>
      </c>
      <c r="I111" s="5" t="s">
        <v>1863</v>
      </c>
      <c r="J111" s="5" t="s">
        <v>1678</v>
      </c>
      <c r="K111" s="5" t="s">
        <v>1679</v>
      </c>
      <c r="L111" s="5" t="s">
        <v>1680</v>
      </c>
      <c r="M111" s="5" t="s">
        <v>1681</v>
      </c>
      <c r="N111" s="5" t="s">
        <v>1682</v>
      </c>
      <c r="O111" s="5" t="s">
        <v>1680</v>
      </c>
      <c r="P111" s="6">
        <v>10086.4</v>
      </c>
      <c r="Q111" s="6">
        <v>112395</v>
      </c>
      <c r="R111" s="6">
        <v>34000</v>
      </c>
      <c r="S111" s="6">
        <v>68308.600000000006</v>
      </c>
      <c r="T111" s="6">
        <v>0</v>
      </c>
    </row>
    <row r="112" spans="1:20">
      <c r="A112" s="5" t="s">
        <v>1672</v>
      </c>
      <c r="B112" s="5" t="s">
        <v>1673</v>
      </c>
      <c r="C112" s="5" t="s">
        <v>1715</v>
      </c>
      <c r="D112" s="5" t="s">
        <v>325</v>
      </c>
      <c r="E112" s="5" t="s">
        <v>1806</v>
      </c>
      <c r="F112" s="5" t="s">
        <v>1807</v>
      </c>
      <c r="G112" s="5" t="s">
        <v>1808</v>
      </c>
      <c r="H112" s="5" t="s">
        <v>1809</v>
      </c>
      <c r="I112" s="5" t="s">
        <v>1863</v>
      </c>
      <c r="J112" s="5" t="s">
        <v>1678</v>
      </c>
      <c r="K112" s="5" t="s">
        <v>1679</v>
      </c>
      <c r="L112" s="5" t="s">
        <v>1680</v>
      </c>
      <c r="M112" s="5" t="s">
        <v>1681</v>
      </c>
      <c r="N112" s="5" t="s">
        <v>1682</v>
      </c>
      <c r="O112" s="5" t="s">
        <v>1680</v>
      </c>
      <c r="P112" s="6">
        <v>10086.4</v>
      </c>
      <c r="Q112" s="6">
        <v>112395</v>
      </c>
      <c r="R112" s="6">
        <v>34000</v>
      </c>
      <c r="S112" s="6">
        <v>68308.600000000006</v>
      </c>
      <c r="T112" s="6">
        <v>0</v>
      </c>
    </row>
    <row r="113" spans="1:20">
      <c r="A113" s="5" t="s">
        <v>1672</v>
      </c>
      <c r="B113" s="5" t="s">
        <v>1673</v>
      </c>
      <c r="C113" s="5" t="s">
        <v>1715</v>
      </c>
      <c r="D113" s="5" t="s">
        <v>325</v>
      </c>
      <c r="E113" s="5" t="s">
        <v>1810</v>
      </c>
      <c r="F113" s="5" t="s">
        <v>1811</v>
      </c>
      <c r="G113" s="5" t="s">
        <v>1812</v>
      </c>
      <c r="H113" s="5" t="s">
        <v>1813</v>
      </c>
      <c r="I113" s="5" t="s">
        <v>1863</v>
      </c>
      <c r="J113" s="5" t="s">
        <v>1678</v>
      </c>
      <c r="K113" s="5" t="s">
        <v>1679</v>
      </c>
      <c r="L113" s="5" t="s">
        <v>1680</v>
      </c>
      <c r="M113" s="5" t="s">
        <v>1681</v>
      </c>
      <c r="N113" s="5" t="s">
        <v>1682</v>
      </c>
      <c r="O113" s="5" t="s">
        <v>1680</v>
      </c>
      <c r="P113" s="6">
        <v>10086.4</v>
      </c>
      <c r="Q113" s="6">
        <v>112395</v>
      </c>
      <c r="R113" s="6">
        <v>34000</v>
      </c>
      <c r="S113" s="6">
        <v>68308.600000000006</v>
      </c>
      <c r="T113" s="6">
        <v>0</v>
      </c>
    </row>
    <row r="114" spans="1:20">
      <c r="A114" s="5" t="s">
        <v>1672</v>
      </c>
      <c r="B114" s="5" t="s">
        <v>1673</v>
      </c>
      <c r="C114" s="5" t="s">
        <v>1715</v>
      </c>
      <c r="D114" s="5" t="s">
        <v>325</v>
      </c>
      <c r="E114" s="5" t="s">
        <v>1814</v>
      </c>
      <c r="F114" s="5" t="s">
        <v>1815</v>
      </c>
      <c r="G114" s="5" t="s">
        <v>1814</v>
      </c>
      <c r="H114" s="5" t="s">
        <v>1815</v>
      </c>
      <c r="I114" s="5" t="s">
        <v>1863</v>
      </c>
      <c r="J114" s="5" t="s">
        <v>1678</v>
      </c>
      <c r="K114" s="5" t="s">
        <v>1679</v>
      </c>
      <c r="L114" s="5" t="s">
        <v>1680</v>
      </c>
      <c r="M114" s="5" t="s">
        <v>1681</v>
      </c>
      <c r="N114" s="5" t="s">
        <v>1682</v>
      </c>
      <c r="O114" s="5" t="s">
        <v>1680</v>
      </c>
      <c r="P114" s="6">
        <v>10086.4</v>
      </c>
      <c r="Q114" s="6">
        <v>112395</v>
      </c>
      <c r="R114" s="6">
        <v>34000</v>
      </c>
      <c r="S114" s="6">
        <v>68308.600000000006</v>
      </c>
      <c r="T114" s="6">
        <v>0</v>
      </c>
    </row>
    <row r="115" spans="1:20">
      <c r="A115" s="5" t="s">
        <v>1672</v>
      </c>
      <c r="B115" s="5" t="s">
        <v>1673</v>
      </c>
      <c r="C115" s="5" t="s">
        <v>1715</v>
      </c>
      <c r="D115" s="5" t="s">
        <v>325</v>
      </c>
      <c r="E115" s="5" t="s">
        <v>1816</v>
      </c>
      <c r="F115" s="5" t="s">
        <v>1817</v>
      </c>
      <c r="G115" s="5" t="s">
        <v>1818</v>
      </c>
      <c r="H115" s="5" t="s">
        <v>1819</v>
      </c>
      <c r="I115" s="5" t="s">
        <v>1863</v>
      </c>
      <c r="J115" s="5" t="s">
        <v>1678</v>
      </c>
      <c r="K115" s="5" t="s">
        <v>1679</v>
      </c>
      <c r="L115" s="5" t="s">
        <v>1680</v>
      </c>
      <c r="M115" s="5" t="s">
        <v>1681</v>
      </c>
      <c r="N115" s="5" t="s">
        <v>1682</v>
      </c>
      <c r="O115" s="5" t="s">
        <v>1680</v>
      </c>
      <c r="P115" s="6">
        <v>10086.4</v>
      </c>
      <c r="Q115" s="6">
        <v>112395</v>
      </c>
      <c r="R115" s="6">
        <v>34000</v>
      </c>
      <c r="S115" s="6">
        <v>68308.600000000006</v>
      </c>
      <c r="T115" s="6">
        <v>0</v>
      </c>
    </row>
    <row r="116" spans="1:20">
      <c r="A116" s="5" t="s">
        <v>1672</v>
      </c>
      <c r="B116" s="5" t="s">
        <v>1673</v>
      </c>
      <c r="C116" s="5" t="s">
        <v>1715</v>
      </c>
      <c r="D116" s="5" t="s">
        <v>325</v>
      </c>
      <c r="E116" s="5" t="s">
        <v>1820</v>
      </c>
      <c r="F116" s="5" t="s">
        <v>1821</v>
      </c>
      <c r="G116" s="5" t="s">
        <v>1822</v>
      </c>
      <c r="H116" s="5" t="s">
        <v>1823</v>
      </c>
      <c r="I116" s="5" t="s">
        <v>1863</v>
      </c>
      <c r="J116" s="5" t="s">
        <v>1678</v>
      </c>
      <c r="K116" s="5" t="s">
        <v>1679</v>
      </c>
      <c r="L116" s="5" t="s">
        <v>1680</v>
      </c>
      <c r="M116" s="5" t="s">
        <v>1681</v>
      </c>
      <c r="N116" s="5" t="s">
        <v>1682</v>
      </c>
      <c r="O116" s="5" t="s">
        <v>1680</v>
      </c>
      <c r="P116" s="6">
        <v>10086.4</v>
      </c>
      <c r="Q116" s="6">
        <v>112395</v>
      </c>
      <c r="R116" s="6">
        <v>34000</v>
      </c>
      <c r="S116" s="6">
        <v>68308.600000000006</v>
      </c>
      <c r="T116" s="6">
        <v>0</v>
      </c>
    </row>
    <row r="117" spans="1:20">
      <c r="A117" s="5" t="s">
        <v>1672</v>
      </c>
      <c r="B117" s="5" t="s">
        <v>1673</v>
      </c>
      <c r="C117" s="5" t="s">
        <v>1715</v>
      </c>
      <c r="D117" s="5" t="s">
        <v>325</v>
      </c>
      <c r="E117" s="5" t="s">
        <v>1824</v>
      </c>
      <c r="F117" s="5" t="s">
        <v>1825</v>
      </c>
      <c r="G117" s="5" t="s">
        <v>1826</v>
      </c>
      <c r="H117" s="5" t="s">
        <v>1827</v>
      </c>
      <c r="I117" s="5" t="s">
        <v>1863</v>
      </c>
      <c r="J117" s="5" t="s">
        <v>1678</v>
      </c>
      <c r="K117" s="5" t="s">
        <v>1679</v>
      </c>
      <c r="L117" s="5" t="s">
        <v>1680</v>
      </c>
      <c r="M117" s="5" t="s">
        <v>1681</v>
      </c>
      <c r="N117" s="5" t="s">
        <v>1682</v>
      </c>
      <c r="O117" s="5" t="s">
        <v>1680</v>
      </c>
      <c r="P117" s="6">
        <v>10086.4</v>
      </c>
      <c r="Q117" s="6">
        <v>112395</v>
      </c>
      <c r="R117" s="6">
        <v>34000</v>
      </c>
      <c r="S117" s="6">
        <v>68308.600000000006</v>
      </c>
      <c r="T117" s="6">
        <v>0</v>
      </c>
    </row>
    <row r="118" spans="1:20">
      <c r="A118" s="5" t="s">
        <v>1672</v>
      </c>
      <c r="B118" s="5" t="s">
        <v>1673</v>
      </c>
      <c r="C118" s="5" t="s">
        <v>1715</v>
      </c>
      <c r="D118" s="5" t="s">
        <v>325</v>
      </c>
      <c r="E118" s="5" t="s">
        <v>1828</v>
      </c>
      <c r="F118" s="5" t="s">
        <v>1829</v>
      </c>
      <c r="G118" s="5" t="s">
        <v>1828</v>
      </c>
      <c r="H118" s="5" t="s">
        <v>1829</v>
      </c>
      <c r="I118" s="5" t="s">
        <v>1863</v>
      </c>
      <c r="J118" s="5" t="s">
        <v>1678</v>
      </c>
      <c r="K118" s="5" t="s">
        <v>1679</v>
      </c>
      <c r="L118" s="5" t="s">
        <v>1680</v>
      </c>
      <c r="M118" s="5" t="s">
        <v>1681</v>
      </c>
      <c r="N118" s="5" t="s">
        <v>1682</v>
      </c>
      <c r="O118" s="5" t="s">
        <v>1680</v>
      </c>
      <c r="P118" s="6">
        <v>10086.4</v>
      </c>
      <c r="Q118" s="6">
        <v>112395</v>
      </c>
      <c r="R118" s="6">
        <v>34000</v>
      </c>
      <c r="S118" s="6">
        <v>68308.600000000006</v>
      </c>
      <c r="T118" s="6">
        <v>0</v>
      </c>
    </row>
    <row r="119" spans="1:20">
      <c r="A119" s="5" t="s">
        <v>1672</v>
      </c>
      <c r="B119" s="5" t="s">
        <v>1673</v>
      </c>
      <c r="C119" s="5" t="s">
        <v>1715</v>
      </c>
      <c r="D119" s="5" t="s">
        <v>325</v>
      </c>
      <c r="E119" s="5" t="s">
        <v>1830</v>
      </c>
      <c r="F119" s="5" t="s">
        <v>1831</v>
      </c>
      <c r="G119" s="5" t="s">
        <v>1830</v>
      </c>
      <c r="H119" s="5" t="s">
        <v>1831</v>
      </c>
      <c r="I119" s="5" t="s">
        <v>1863</v>
      </c>
      <c r="J119" s="5" t="s">
        <v>1678</v>
      </c>
      <c r="K119" s="5" t="s">
        <v>1679</v>
      </c>
      <c r="L119" s="5" t="s">
        <v>1680</v>
      </c>
      <c r="M119" s="5" t="s">
        <v>1681</v>
      </c>
      <c r="N119" s="5" t="s">
        <v>1682</v>
      </c>
      <c r="O119" s="5" t="s">
        <v>1680</v>
      </c>
      <c r="P119" s="6">
        <v>10086.4</v>
      </c>
      <c r="Q119" s="6">
        <v>112395</v>
      </c>
      <c r="R119" s="6">
        <v>34000</v>
      </c>
      <c r="S119" s="6">
        <v>68308.600000000006</v>
      </c>
      <c r="T119" s="6">
        <v>0</v>
      </c>
    </row>
    <row r="120" spans="1:20">
      <c r="A120" s="5" t="s">
        <v>1672</v>
      </c>
      <c r="B120" s="5" t="s">
        <v>1673</v>
      </c>
      <c r="C120" s="5" t="s">
        <v>1715</v>
      </c>
      <c r="D120" s="5" t="s">
        <v>325</v>
      </c>
      <c r="E120" s="5" t="s">
        <v>1832</v>
      </c>
      <c r="F120" s="5" t="s">
        <v>1833</v>
      </c>
      <c r="G120" s="5" t="s">
        <v>1834</v>
      </c>
      <c r="H120" s="5" t="s">
        <v>1835</v>
      </c>
      <c r="I120" s="5" t="s">
        <v>1863</v>
      </c>
      <c r="J120" s="5" t="s">
        <v>1678</v>
      </c>
      <c r="K120" s="5" t="s">
        <v>1679</v>
      </c>
      <c r="L120" s="5" t="s">
        <v>1680</v>
      </c>
      <c r="M120" s="5" t="s">
        <v>1681</v>
      </c>
      <c r="N120" s="5" t="s">
        <v>1682</v>
      </c>
      <c r="O120" s="5" t="s">
        <v>1680</v>
      </c>
      <c r="P120" s="6">
        <v>10086.4</v>
      </c>
      <c r="Q120" s="6">
        <v>112395</v>
      </c>
      <c r="R120" s="6">
        <v>34000</v>
      </c>
      <c r="S120" s="6">
        <v>68308.600000000006</v>
      </c>
      <c r="T120" s="6">
        <v>0</v>
      </c>
    </row>
    <row r="121" spans="1:20">
      <c r="A121" s="5" t="s">
        <v>1672</v>
      </c>
      <c r="B121" s="5" t="s">
        <v>1673</v>
      </c>
      <c r="C121" s="5" t="s">
        <v>1715</v>
      </c>
      <c r="D121" s="5" t="s">
        <v>325</v>
      </c>
      <c r="E121" s="5" t="s">
        <v>1836</v>
      </c>
      <c r="F121" s="5" t="s">
        <v>1837</v>
      </c>
      <c r="G121" s="5" t="s">
        <v>1836</v>
      </c>
      <c r="H121" s="5" t="s">
        <v>1837</v>
      </c>
      <c r="I121" s="5" t="s">
        <v>1863</v>
      </c>
      <c r="J121" s="5" t="s">
        <v>1678</v>
      </c>
      <c r="K121" s="5" t="s">
        <v>1679</v>
      </c>
      <c r="L121" s="5" t="s">
        <v>1680</v>
      </c>
      <c r="M121" s="5" t="s">
        <v>1681</v>
      </c>
      <c r="N121" s="5" t="s">
        <v>1682</v>
      </c>
      <c r="O121" s="5" t="s">
        <v>1680</v>
      </c>
      <c r="P121" s="6">
        <v>10086.4</v>
      </c>
      <c r="Q121" s="6">
        <v>112395</v>
      </c>
      <c r="R121" s="6">
        <v>34000</v>
      </c>
      <c r="S121" s="6">
        <v>68308.600000000006</v>
      </c>
      <c r="T121" s="6">
        <v>0</v>
      </c>
    </row>
    <row r="122" spans="1:20">
      <c r="A122" s="5" t="s">
        <v>1672</v>
      </c>
      <c r="B122" s="5" t="s">
        <v>1673</v>
      </c>
      <c r="C122" s="5" t="s">
        <v>1715</v>
      </c>
      <c r="D122" s="5" t="s">
        <v>325</v>
      </c>
      <c r="E122" s="5" t="s">
        <v>1838</v>
      </c>
      <c r="F122" s="5" t="s">
        <v>1839</v>
      </c>
      <c r="G122" s="5" t="s">
        <v>1840</v>
      </c>
      <c r="H122" s="5" t="s">
        <v>1841</v>
      </c>
      <c r="I122" s="5" t="s">
        <v>1863</v>
      </c>
      <c r="J122" s="5" t="s">
        <v>1678</v>
      </c>
      <c r="K122" s="5" t="s">
        <v>1679</v>
      </c>
      <c r="L122" s="5" t="s">
        <v>1680</v>
      </c>
      <c r="M122" s="5" t="s">
        <v>1681</v>
      </c>
      <c r="N122" s="5" t="s">
        <v>1682</v>
      </c>
      <c r="O122" s="5" t="s">
        <v>1680</v>
      </c>
      <c r="P122" s="6">
        <v>10086.4</v>
      </c>
      <c r="Q122" s="6">
        <v>112395</v>
      </c>
      <c r="R122" s="6">
        <v>34000</v>
      </c>
      <c r="S122" s="6">
        <v>68308.600000000006</v>
      </c>
      <c r="T122" s="6">
        <v>0</v>
      </c>
    </row>
    <row r="123" spans="1:20">
      <c r="A123" s="5" t="s">
        <v>1672</v>
      </c>
      <c r="B123" s="5" t="s">
        <v>1673</v>
      </c>
      <c r="C123" s="5" t="s">
        <v>1842</v>
      </c>
      <c r="D123" s="5" t="s">
        <v>514</v>
      </c>
      <c r="E123" s="5" t="s">
        <v>1843</v>
      </c>
      <c r="F123" s="5" t="s">
        <v>1844</v>
      </c>
      <c r="G123" s="5" t="s">
        <v>1843</v>
      </c>
      <c r="H123" s="5" t="s">
        <v>1844</v>
      </c>
      <c r="I123" s="5" t="s">
        <v>1863</v>
      </c>
      <c r="J123" s="5" t="s">
        <v>1678</v>
      </c>
      <c r="K123" s="5" t="s">
        <v>1679</v>
      </c>
      <c r="L123" s="5" t="s">
        <v>1680</v>
      </c>
      <c r="M123" s="5" t="s">
        <v>1681</v>
      </c>
      <c r="N123" s="5" t="s">
        <v>1682</v>
      </c>
      <c r="O123" s="5" t="s">
        <v>1680</v>
      </c>
      <c r="P123" s="6">
        <v>5751</v>
      </c>
      <c r="Q123" s="6">
        <v>5751</v>
      </c>
      <c r="R123" s="6">
        <v>0</v>
      </c>
      <c r="S123" s="6">
        <v>0</v>
      </c>
      <c r="T123" s="6">
        <v>0</v>
      </c>
    </row>
    <row r="124" spans="1:20">
      <c r="A124" s="5" t="s">
        <v>1672</v>
      </c>
      <c r="B124" s="5" t="s">
        <v>1673</v>
      </c>
      <c r="C124" s="5" t="s">
        <v>1842</v>
      </c>
      <c r="D124" s="5" t="s">
        <v>514</v>
      </c>
      <c r="E124" s="5" t="s">
        <v>1845</v>
      </c>
      <c r="F124" s="5" t="s">
        <v>1846</v>
      </c>
      <c r="G124" s="5" t="s">
        <v>1847</v>
      </c>
      <c r="H124" s="5" t="s">
        <v>1848</v>
      </c>
      <c r="I124" s="5" t="s">
        <v>1863</v>
      </c>
      <c r="J124" s="5" t="s">
        <v>1678</v>
      </c>
      <c r="K124" s="5" t="s">
        <v>1679</v>
      </c>
      <c r="L124" s="5" t="s">
        <v>1680</v>
      </c>
      <c r="M124" s="5" t="s">
        <v>1681</v>
      </c>
      <c r="N124" s="5" t="s">
        <v>1682</v>
      </c>
      <c r="O124" s="5" t="s">
        <v>1680</v>
      </c>
      <c r="P124" s="6">
        <v>5751</v>
      </c>
      <c r="Q124" s="6">
        <v>5751</v>
      </c>
      <c r="R124" s="6">
        <v>0</v>
      </c>
      <c r="S124" s="6">
        <v>0</v>
      </c>
      <c r="T124" s="6">
        <v>0</v>
      </c>
    </row>
    <row r="125" spans="1:20">
      <c r="A125" s="5" t="s">
        <v>1672</v>
      </c>
      <c r="B125" s="5" t="s">
        <v>1673</v>
      </c>
      <c r="C125" s="5" t="s">
        <v>1842</v>
      </c>
      <c r="D125" s="5" t="s">
        <v>514</v>
      </c>
      <c r="E125" s="5" t="s">
        <v>1849</v>
      </c>
      <c r="F125" s="5" t="s">
        <v>1850</v>
      </c>
      <c r="G125" s="5" t="s">
        <v>1849</v>
      </c>
      <c r="H125" s="5" t="s">
        <v>1850</v>
      </c>
      <c r="I125" s="5" t="s">
        <v>1863</v>
      </c>
      <c r="J125" s="5" t="s">
        <v>1678</v>
      </c>
      <c r="K125" s="5" t="s">
        <v>1679</v>
      </c>
      <c r="L125" s="5" t="s">
        <v>1680</v>
      </c>
      <c r="M125" s="5" t="s">
        <v>1681</v>
      </c>
      <c r="N125" s="5" t="s">
        <v>1682</v>
      </c>
      <c r="O125" s="5" t="s">
        <v>1680</v>
      </c>
      <c r="P125" s="6">
        <v>5751</v>
      </c>
      <c r="Q125" s="6">
        <v>5751</v>
      </c>
      <c r="R125" s="6">
        <v>0</v>
      </c>
      <c r="S125" s="6">
        <v>0</v>
      </c>
      <c r="T125" s="6">
        <v>0</v>
      </c>
    </row>
    <row r="126" spans="1:20">
      <c r="A126" s="5" t="s">
        <v>1672</v>
      </c>
      <c r="B126" s="5" t="s">
        <v>1673</v>
      </c>
      <c r="C126" s="5" t="s">
        <v>1842</v>
      </c>
      <c r="D126" s="5" t="s">
        <v>514</v>
      </c>
      <c r="E126" s="5" t="s">
        <v>1851</v>
      </c>
      <c r="F126" s="5" t="s">
        <v>1852</v>
      </c>
      <c r="G126" s="5" t="s">
        <v>1853</v>
      </c>
      <c r="H126" s="5" t="s">
        <v>1854</v>
      </c>
      <c r="I126" s="5" t="s">
        <v>1863</v>
      </c>
      <c r="J126" s="5" t="s">
        <v>1678</v>
      </c>
      <c r="K126" s="5" t="s">
        <v>1679</v>
      </c>
      <c r="L126" s="5" t="s">
        <v>1680</v>
      </c>
      <c r="M126" s="5" t="s">
        <v>1681</v>
      </c>
      <c r="N126" s="5" t="s">
        <v>1682</v>
      </c>
      <c r="O126" s="5" t="s">
        <v>1680</v>
      </c>
      <c r="P126" s="6">
        <v>5751</v>
      </c>
      <c r="Q126" s="6">
        <v>5751</v>
      </c>
      <c r="R126" s="6">
        <v>0</v>
      </c>
      <c r="S126" s="6">
        <v>0</v>
      </c>
      <c r="T126" s="6">
        <v>0</v>
      </c>
    </row>
    <row r="127" spans="1:20">
      <c r="A127" s="5" t="s">
        <v>1672</v>
      </c>
      <c r="B127" s="5" t="s">
        <v>1673</v>
      </c>
      <c r="C127" s="5" t="s">
        <v>1842</v>
      </c>
      <c r="D127" s="5" t="s">
        <v>514</v>
      </c>
      <c r="E127" s="5" t="s">
        <v>1855</v>
      </c>
      <c r="F127" s="5" t="s">
        <v>1856</v>
      </c>
      <c r="G127" s="5" t="s">
        <v>1857</v>
      </c>
      <c r="H127" s="5" t="s">
        <v>1858</v>
      </c>
      <c r="I127" s="5" t="s">
        <v>1863</v>
      </c>
      <c r="J127" s="5" t="s">
        <v>1678</v>
      </c>
      <c r="K127" s="5" t="s">
        <v>1679</v>
      </c>
      <c r="L127" s="5" t="s">
        <v>1680</v>
      </c>
      <c r="M127" s="5" t="s">
        <v>1681</v>
      </c>
      <c r="N127" s="5" t="s">
        <v>1682</v>
      </c>
      <c r="O127" s="5" t="s">
        <v>1680</v>
      </c>
      <c r="P127" s="6">
        <v>5751</v>
      </c>
      <c r="Q127" s="6">
        <v>5751</v>
      </c>
      <c r="R127" s="6">
        <v>0</v>
      </c>
      <c r="S127" s="6">
        <v>0</v>
      </c>
      <c r="T127" s="6">
        <v>0</v>
      </c>
    </row>
    <row r="128" spans="1:20">
      <c r="A128" s="5" t="s">
        <v>1672</v>
      </c>
      <c r="B128" s="5" t="s">
        <v>1673</v>
      </c>
      <c r="C128" s="5" t="s">
        <v>1842</v>
      </c>
      <c r="D128" s="5" t="s">
        <v>514</v>
      </c>
      <c r="E128" s="5" t="s">
        <v>1859</v>
      </c>
      <c r="F128" s="5" t="s">
        <v>1860</v>
      </c>
      <c r="G128" s="5" t="s">
        <v>1861</v>
      </c>
      <c r="H128" s="5" t="s">
        <v>1862</v>
      </c>
      <c r="I128" s="5" t="s">
        <v>1863</v>
      </c>
      <c r="J128" s="5" t="s">
        <v>1678</v>
      </c>
      <c r="K128" s="5" t="s">
        <v>1679</v>
      </c>
      <c r="L128" s="5" t="s">
        <v>1680</v>
      </c>
      <c r="M128" s="5" t="s">
        <v>1681</v>
      </c>
      <c r="N128" s="5" t="s">
        <v>1682</v>
      </c>
      <c r="O128" s="5" t="s">
        <v>1680</v>
      </c>
      <c r="P128" s="6">
        <v>5751</v>
      </c>
      <c r="Q128" s="6">
        <v>5751</v>
      </c>
      <c r="R128" s="6">
        <v>0</v>
      </c>
      <c r="S128" s="6">
        <v>0</v>
      </c>
      <c r="T128" s="6">
        <v>0</v>
      </c>
    </row>
    <row r="129" spans="1:20">
      <c r="A129" s="5" t="s">
        <v>1672</v>
      </c>
      <c r="B129" s="5" t="s">
        <v>1673</v>
      </c>
      <c r="C129" s="5" t="s">
        <v>1674</v>
      </c>
      <c r="D129" s="5" t="s">
        <v>2</v>
      </c>
      <c r="E129" s="5" t="s">
        <v>1675</v>
      </c>
      <c r="F129" s="5" t="s">
        <v>1676</v>
      </c>
      <c r="G129" s="5" t="s">
        <v>1675</v>
      </c>
      <c r="H129" s="5" t="s">
        <v>1676</v>
      </c>
      <c r="I129" s="5" t="s">
        <v>1869</v>
      </c>
      <c r="J129" s="5" t="s">
        <v>1678</v>
      </c>
      <c r="K129" s="5" t="s">
        <v>1679</v>
      </c>
      <c r="L129" s="5" t="s">
        <v>1680</v>
      </c>
      <c r="M129" s="5" t="s">
        <v>1681</v>
      </c>
      <c r="N129" s="5" t="s">
        <v>1682</v>
      </c>
      <c r="O129" s="5" t="s">
        <v>1680</v>
      </c>
      <c r="P129" s="6">
        <v>702</v>
      </c>
      <c r="Q129" s="6">
        <v>1602</v>
      </c>
      <c r="R129" s="6">
        <v>0</v>
      </c>
      <c r="S129" s="6">
        <v>900</v>
      </c>
      <c r="T129" s="6">
        <v>0</v>
      </c>
    </row>
    <row r="130" spans="1:20">
      <c r="A130" s="5" t="s">
        <v>1672</v>
      </c>
      <c r="B130" s="5" t="s">
        <v>1673</v>
      </c>
      <c r="C130" s="5" t="s">
        <v>1674</v>
      </c>
      <c r="D130" s="5" t="s">
        <v>2</v>
      </c>
      <c r="E130" s="5" t="s">
        <v>1683</v>
      </c>
      <c r="F130" s="5" t="s">
        <v>1684</v>
      </c>
      <c r="G130" s="5" t="s">
        <v>1683</v>
      </c>
      <c r="H130" s="5" t="s">
        <v>1684</v>
      </c>
      <c r="I130" s="5" t="s">
        <v>1869</v>
      </c>
      <c r="J130" s="5" t="s">
        <v>1678</v>
      </c>
      <c r="K130" s="5" t="s">
        <v>1679</v>
      </c>
      <c r="L130" s="5" t="s">
        <v>1680</v>
      </c>
      <c r="M130" s="5" t="s">
        <v>1681</v>
      </c>
      <c r="N130" s="5" t="s">
        <v>1682</v>
      </c>
      <c r="O130" s="5" t="s">
        <v>1680</v>
      </c>
      <c r="P130" s="6">
        <v>702</v>
      </c>
      <c r="Q130" s="6">
        <v>1602</v>
      </c>
      <c r="R130" s="6">
        <v>0</v>
      </c>
      <c r="S130" s="6">
        <v>900</v>
      </c>
      <c r="T130" s="6">
        <v>0</v>
      </c>
    </row>
    <row r="131" spans="1:20">
      <c r="A131" s="5" t="s">
        <v>1672</v>
      </c>
      <c r="B131" s="5" t="s">
        <v>1673</v>
      </c>
      <c r="C131" s="5" t="s">
        <v>1674</v>
      </c>
      <c r="D131" s="5" t="s">
        <v>2</v>
      </c>
      <c r="E131" s="5" t="s">
        <v>1685</v>
      </c>
      <c r="F131" s="5" t="s">
        <v>1686</v>
      </c>
      <c r="G131" s="5" t="s">
        <v>1685</v>
      </c>
      <c r="H131" s="5" t="s">
        <v>1686</v>
      </c>
      <c r="I131" s="5" t="s">
        <v>1869</v>
      </c>
      <c r="J131" s="5" t="s">
        <v>1678</v>
      </c>
      <c r="K131" s="5" t="s">
        <v>1679</v>
      </c>
      <c r="L131" s="5" t="s">
        <v>1680</v>
      </c>
      <c r="M131" s="5" t="s">
        <v>1681</v>
      </c>
      <c r="N131" s="5" t="s">
        <v>1682</v>
      </c>
      <c r="O131" s="5" t="s">
        <v>1680</v>
      </c>
      <c r="P131" s="6">
        <v>702</v>
      </c>
      <c r="Q131" s="6">
        <v>1602</v>
      </c>
      <c r="R131" s="6">
        <v>0</v>
      </c>
      <c r="S131" s="6">
        <v>900</v>
      </c>
      <c r="T131" s="6">
        <v>0</v>
      </c>
    </row>
    <row r="132" spans="1:20">
      <c r="A132" s="5" t="s">
        <v>1672</v>
      </c>
      <c r="B132" s="5" t="s">
        <v>1673</v>
      </c>
      <c r="C132" s="5" t="s">
        <v>1674</v>
      </c>
      <c r="D132" s="5" t="s">
        <v>2</v>
      </c>
      <c r="E132" s="5" t="s">
        <v>1687</v>
      </c>
      <c r="F132" s="5" t="s">
        <v>1688</v>
      </c>
      <c r="G132" s="5" t="s">
        <v>1687</v>
      </c>
      <c r="H132" s="5" t="s">
        <v>1688</v>
      </c>
      <c r="I132" s="5" t="s">
        <v>1869</v>
      </c>
      <c r="J132" s="5" t="s">
        <v>1678</v>
      </c>
      <c r="K132" s="5" t="s">
        <v>1679</v>
      </c>
      <c r="L132" s="5" t="s">
        <v>1680</v>
      </c>
      <c r="M132" s="5" t="s">
        <v>1681</v>
      </c>
      <c r="N132" s="5" t="s">
        <v>1682</v>
      </c>
      <c r="O132" s="5" t="s">
        <v>1680</v>
      </c>
      <c r="P132" s="6">
        <v>702</v>
      </c>
      <c r="Q132" s="6">
        <v>1602</v>
      </c>
      <c r="R132" s="6">
        <v>0</v>
      </c>
      <c r="S132" s="6">
        <v>900</v>
      </c>
      <c r="T132" s="6">
        <v>0</v>
      </c>
    </row>
    <row r="133" spans="1:20">
      <c r="A133" s="5" t="s">
        <v>1672</v>
      </c>
      <c r="B133" s="5" t="s">
        <v>1673</v>
      </c>
      <c r="C133" s="5" t="s">
        <v>1674</v>
      </c>
      <c r="D133" s="5" t="s">
        <v>2</v>
      </c>
      <c r="E133" s="5" t="s">
        <v>1689</v>
      </c>
      <c r="F133" s="5" t="s">
        <v>1690</v>
      </c>
      <c r="G133" s="5" t="s">
        <v>1689</v>
      </c>
      <c r="H133" s="5" t="s">
        <v>1690</v>
      </c>
      <c r="I133" s="5" t="s">
        <v>1869</v>
      </c>
      <c r="J133" s="5" t="s">
        <v>1678</v>
      </c>
      <c r="K133" s="5" t="s">
        <v>1679</v>
      </c>
      <c r="L133" s="5" t="s">
        <v>1680</v>
      </c>
      <c r="M133" s="5" t="s">
        <v>1681</v>
      </c>
      <c r="N133" s="5" t="s">
        <v>1682</v>
      </c>
      <c r="O133" s="5" t="s">
        <v>1680</v>
      </c>
      <c r="P133" s="6">
        <v>702</v>
      </c>
      <c r="Q133" s="6">
        <v>1602</v>
      </c>
      <c r="R133" s="6">
        <v>0</v>
      </c>
      <c r="S133" s="6">
        <v>900</v>
      </c>
      <c r="T133" s="6">
        <v>0</v>
      </c>
    </row>
    <row r="134" spans="1:20">
      <c r="A134" s="5" t="s">
        <v>1672</v>
      </c>
      <c r="B134" s="5" t="s">
        <v>1673</v>
      </c>
      <c r="C134" s="5" t="s">
        <v>1674</v>
      </c>
      <c r="D134" s="5" t="s">
        <v>2</v>
      </c>
      <c r="E134" s="5" t="s">
        <v>1691</v>
      </c>
      <c r="F134" s="5" t="s">
        <v>1692</v>
      </c>
      <c r="G134" s="5" t="s">
        <v>1693</v>
      </c>
      <c r="H134" s="5" t="s">
        <v>1694</v>
      </c>
      <c r="I134" s="5" t="s">
        <v>1869</v>
      </c>
      <c r="J134" s="5" t="s">
        <v>1678</v>
      </c>
      <c r="K134" s="5" t="s">
        <v>1679</v>
      </c>
      <c r="L134" s="5" t="s">
        <v>1680</v>
      </c>
      <c r="M134" s="5" t="s">
        <v>1681</v>
      </c>
      <c r="N134" s="5" t="s">
        <v>1682</v>
      </c>
      <c r="O134" s="5" t="s">
        <v>1680</v>
      </c>
      <c r="P134" s="6">
        <v>702</v>
      </c>
      <c r="Q134" s="6">
        <v>1602</v>
      </c>
      <c r="R134" s="6">
        <v>0</v>
      </c>
      <c r="S134" s="6">
        <v>900</v>
      </c>
      <c r="T134" s="6">
        <v>0</v>
      </c>
    </row>
    <row r="135" spans="1:20">
      <c r="A135" s="5" t="s">
        <v>1672</v>
      </c>
      <c r="B135" s="5" t="s">
        <v>1673</v>
      </c>
      <c r="C135" s="5" t="s">
        <v>1674</v>
      </c>
      <c r="D135" s="5" t="s">
        <v>2</v>
      </c>
      <c r="E135" s="5" t="s">
        <v>1695</v>
      </c>
      <c r="F135" s="5" t="s">
        <v>1696</v>
      </c>
      <c r="G135" s="5" t="s">
        <v>1697</v>
      </c>
      <c r="H135" s="5" t="s">
        <v>1698</v>
      </c>
      <c r="I135" s="5" t="s">
        <v>1869</v>
      </c>
      <c r="J135" s="5" t="s">
        <v>1678</v>
      </c>
      <c r="K135" s="5" t="s">
        <v>1679</v>
      </c>
      <c r="L135" s="5" t="s">
        <v>1680</v>
      </c>
      <c r="M135" s="5" t="s">
        <v>1681</v>
      </c>
      <c r="N135" s="5" t="s">
        <v>1682</v>
      </c>
      <c r="O135" s="5" t="s">
        <v>1680</v>
      </c>
      <c r="P135" s="6">
        <v>702</v>
      </c>
      <c r="Q135" s="6">
        <v>1602</v>
      </c>
      <c r="R135" s="6">
        <v>0</v>
      </c>
      <c r="S135" s="6">
        <v>900</v>
      </c>
      <c r="T135" s="6">
        <v>0</v>
      </c>
    </row>
    <row r="136" spans="1:20">
      <c r="A136" s="5" t="s">
        <v>1672</v>
      </c>
      <c r="B136" s="5" t="s">
        <v>1673</v>
      </c>
      <c r="C136" s="5" t="s">
        <v>1674</v>
      </c>
      <c r="D136" s="5" t="s">
        <v>2</v>
      </c>
      <c r="E136" s="5" t="s">
        <v>1699</v>
      </c>
      <c r="F136" s="5" t="s">
        <v>1700</v>
      </c>
      <c r="G136" s="5" t="s">
        <v>1699</v>
      </c>
      <c r="H136" s="5" t="s">
        <v>1700</v>
      </c>
      <c r="I136" s="5" t="s">
        <v>1869</v>
      </c>
      <c r="J136" s="5" t="s">
        <v>1678</v>
      </c>
      <c r="K136" s="5" t="s">
        <v>1679</v>
      </c>
      <c r="L136" s="5" t="s">
        <v>1680</v>
      </c>
      <c r="M136" s="5" t="s">
        <v>1681</v>
      </c>
      <c r="N136" s="5" t="s">
        <v>1682</v>
      </c>
      <c r="O136" s="5" t="s">
        <v>1680</v>
      </c>
      <c r="P136" s="6">
        <v>702</v>
      </c>
      <c r="Q136" s="6">
        <v>1602</v>
      </c>
      <c r="R136" s="6">
        <v>0</v>
      </c>
      <c r="S136" s="6">
        <v>900</v>
      </c>
      <c r="T136" s="6">
        <v>0</v>
      </c>
    </row>
    <row r="137" spans="1:20">
      <c r="A137" s="5" t="s">
        <v>1672</v>
      </c>
      <c r="B137" s="5" t="s">
        <v>1673</v>
      </c>
      <c r="C137" s="5" t="s">
        <v>1674</v>
      </c>
      <c r="D137" s="5" t="s">
        <v>2</v>
      </c>
      <c r="E137" s="5" t="s">
        <v>1701</v>
      </c>
      <c r="F137" s="5" t="s">
        <v>1702</v>
      </c>
      <c r="G137" s="5" t="s">
        <v>1701</v>
      </c>
      <c r="H137" s="5" t="s">
        <v>1702</v>
      </c>
      <c r="I137" s="5" t="s">
        <v>1869</v>
      </c>
      <c r="J137" s="5" t="s">
        <v>1678</v>
      </c>
      <c r="K137" s="5" t="s">
        <v>1679</v>
      </c>
      <c r="L137" s="5" t="s">
        <v>1680</v>
      </c>
      <c r="M137" s="5" t="s">
        <v>1681</v>
      </c>
      <c r="N137" s="5" t="s">
        <v>1682</v>
      </c>
      <c r="O137" s="5" t="s">
        <v>1680</v>
      </c>
      <c r="P137" s="6">
        <v>702</v>
      </c>
      <c r="Q137" s="6">
        <v>1602</v>
      </c>
      <c r="R137" s="6">
        <v>0</v>
      </c>
      <c r="S137" s="6">
        <v>900</v>
      </c>
      <c r="T137" s="6">
        <v>0</v>
      </c>
    </row>
    <row r="138" spans="1:20">
      <c r="A138" s="5" t="s">
        <v>1672</v>
      </c>
      <c r="B138" s="5" t="s">
        <v>1673</v>
      </c>
      <c r="C138" s="5" t="s">
        <v>1674</v>
      </c>
      <c r="D138" s="5" t="s">
        <v>2</v>
      </c>
      <c r="E138" s="5" t="s">
        <v>1703</v>
      </c>
      <c r="F138" s="5" t="s">
        <v>1704</v>
      </c>
      <c r="G138" s="5" t="s">
        <v>1705</v>
      </c>
      <c r="H138" s="5" t="s">
        <v>1706</v>
      </c>
      <c r="I138" s="5" t="s">
        <v>1869</v>
      </c>
      <c r="J138" s="5" t="s">
        <v>1678</v>
      </c>
      <c r="K138" s="5" t="s">
        <v>1679</v>
      </c>
      <c r="L138" s="5" t="s">
        <v>1680</v>
      </c>
      <c r="M138" s="5" t="s">
        <v>1681</v>
      </c>
      <c r="N138" s="5" t="s">
        <v>1682</v>
      </c>
      <c r="O138" s="5" t="s">
        <v>1680</v>
      </c>
      <c r="P138" s="6">
        <v>702</v>
      </c>
      <c r="Q138" s="6">
        <v>1602</v>
      </c>
      <c r="R138" s="6">
        <v>0</v>
      </c>
      <c r="S138" s="6">
        <v>900</v>
      </c>
      <c r="T138" s="6">
        <v>0</v>
      </c>
    </row>
    <row r="139" spans="1:20">
      <c r="A139" s="5" t="s">
        <v>1672</v>
      </c>
      <c r="B139" s="5" t="s">
        <v>1673</v>
      </c>
      <c r="C139" s="5" t="s">
        <v>1674</v>
      </c>
      <c r="D139" s="5" t="s">
        <v>2</v>
      </c>
      <c r="E139" s="5" t="s">
        <v>1707</v>
      </c>
      <c r="F139" s="5" t="s">
        <v>1708</v>
      </c>
      <c r="G139" s="5" t="s">
        <v>1707</v>
      </c>
      <c r="H139" s="5" t="s">
        <v>1708</v>
      </c>
      <c r="I139" s="5" t="s">
        <v>1869</v>
      </c>
      <c r="J139" s="5" t="s">
        <v>1678</v>
      </c>
      <c r="K139" s="5" t="s">
        <v>1679</v>
      </c>
      <c r="L139" s="5" t="s">
        <v>1680</v>
      </c>
      <c r="M139" s="5" t="s">
        <v>1681</v>
      </c>
      <c r="N139" s="5" t="s">
        <v>1682</v>
      </c>
      <c r="O139" s="5" t="s">
        <v>1680</v>
      </c>
      <c r="P139" s="6">
        <v>702</v>
      </c>
      <c r="Q139" s="6">
        <v>1602</v>
      </c>
      <c r="R139" s="6">
        <v>0</v>
      </c>
      <c r="S139" s="6">
        <v>900</v>
      </c>
      <c r="T139" s="6">
        <v>0</v>
      </c>
    </row>
    <row r="140" spans="1:20">
      <c r="A140" s="5" t="s">
        <v>1672</v>
      </c>
      <c r="B140" s="5" t="s">
        <v>1673</v>
      </c>
      <c r="C140" s="5" t="s">
        <v>1674</v>
      </c>
      <c r="D140" s="5" t="s">
        <v>2</v>
      </c>
      <c r="E140" s="5" t="s">
        <v>1709</v>
      </c>
      <c r="F140" s="5" t="s">
        <v>1710</v>
      </c>
      <c r="G140" s="5" t="s">
        <v>1709</v>
      </c>
      <c r="H140" s="5" t="s">
        <v>1710</v>
      </c>
      <c r="I140" s="5" t="s">
        <v>1869</v>
      </c>
      <c r="J140" s="5" t="s">
        <v>1678</v>
      </c>
      <c r="K140" s="5" t="s">
        <v>1679</v>
      </c>
      <c r="L140" s="5" t="s">
        <v>1680</v>
      </c>
      <c r="M140" s="5" t="s">
        <v>1681</v>
      </c>
      <c r="N140" s="5" t="s">
        <v>1682</v>
      </c>
      <c r="O140" s="5" t="s">
        <v>1680</v>
      </c>
      <c r="P140" s="6">
        <v>702</v>
      </c>
      <c r="Q140" s="6">
        <v>1602</v>
      </c>
      <c r="R140" s="6">
        <v>0</v>
      </c>
      <c r="S140" s="6">
        <v>900</v>
      </c>
      <c r="T140" s="6">
        <v>0</v>
      </c>
    </row>
    <row r="141" spans="1:20">
      <c r="A141" s="5" t="s">
        <v>1672</v>
      </c>
      <c r="B141" s="5" t="s">
        <v>1673</v>
      </c>
      <c r="C141" s="5" t="s">
        <v>1674</v>
      </c>
      <c r="D141" s="5" t="s">
        <v>2</v>
      </c>
      <c r="E141" s="5" t="s">
        <v>1711</v>
      </c>
      <c r="F141" s="5" t="s">
        <v>1712</v>
      </c>
      <c r="G141" s="5" t="s">
        <v>1711</v>
      </c>
      <c r="H141" s="5" t="s">
        <v>1712</v>
      </c>
      <c r="I141" s="5" t="s">
        <v>1869</v>
      </c>
      <c r="J141" s="5" t="s">
        <v>1678</v>
      </c>
      <c r="K141" s="5" t="s">
        <v>1679</v>
      </c>
      <c r="L141" s="5" t="s">
        <v>1680</v>
      </c>
      <c r="M141" s="5" t="s">
        <v>1681</v>
      </c>
      <c r="N141" s="5" t="s">
        <v>1682</v>
      </c>
      <c r="O141" s="5" t="s">
        <v>1680</v>
      </c>
      <c r="P141" s="6">
        <v>702</v>
      </c>
      <c r="Q141" s="6">
        <v>1602</v>
      </c>
      <c r="R141" s="6">
        <v>0</v>
      </c>
      <c r="S141" s="6">
        <v>900</v>
      </c>
      <c r="T141" s="6">
        <v>0</v>
      </c>
    </row>
    <row r="142" spans="1:20">
      <c r="A142" s="5" t="s">
        <v>1672</v>
      </c>
      <c r="B142" s="5" t="s">
        <v>1673</v>
      </c>
      <c r="C142" s="5" t="s">
        <v>1674</v>
      </c>
      <c r="D142" s="5" t="s">
        <v>2</v>
      </c>
      <c r="E142" s="5" t="s">
        <v>1713</v>
      </c>
      <c r="F142" s="5" t="s">
        <v>1714</v>
      </c>
      <c r="G142" s="5" t="s">
        <v>1713</v>
      </c>
      <c r="H142" s="5" t="s">
        <v>1714</v>
      </c>
      <c r="I142" s="5" t="s">
        <v>1869</v>
      </c>
      <c r="J142" s="5" t="s">
        <v>1678</v>
      </c>
      <c r="K142" s="5" t="s">
        <v>1679</v>
      </c>
      <c r="L142" s="5" t="s">
        <v>1680</v>
      </c>
      <c r="M142" s="5" t="s">
        <v>1681</v>
      </c>
      <c r="N142" s="5" t="s">
        <v>1682</v>
      </c>
      <c r="O142" s="5" t="s">
        <v>1680</v>
      </c>
      <c r="P142" s="6">
        <v>702</v>
      </c>
      <c r="Q142" s="6">
        <v>1602</v>
      </c>
      <c r="R142" s="6">
        <v>0</v>
      </c>
      <c r="S142" s="6">
        <v>900</v>
      </c>
      <c r="T142" s="6">
        <v>0</v>
      </c>
    </row>
    <row r="143" spans="1:20">
      <c r="A143" s="5" t="s">
        <v>1672</v>
      </c>
      <c r="B143" s="5" t="s">
        <v>1673</v>
      </c>
      <c r="C143" s="5" t="s">
        <v>1715</v>
      </c>
      <c r="D143" s="5" t="s">
        <v>325</v>
      </c>
      <c r="E143" s="5" t="s">
        <v>1716</v>
      </c>
      <c r="F143" s="5" t="s">
        <v>1717</v>
      </c>
      <c r="G143" s="5" t="s">
        <v>1716</v>
      </c>
      <c r="H143" s="5" t="s">
        <v>1717</v>
      </c>
      <c r="I143" s="5" t="s">
        <v>1869</v>
      </c>
      <c r="J143" s="5" t="s">
        <v>1678</v>
      </c>
      <c r="K143" s="5" t="s">
        <v>1679</v>
      </c>
      <c r="L143" s="5" t="s">
        <v>1680</v>
      </c>
      <c r="M143" s="5" t="s">
        <v>1681</v>
      </c>
      <c r="N143" s="5" t="s">
        <v>1682</v>
      </c>
      <c r="O143" s="5" t="s">
        <v>1680</v>
      </c>
      <c r="P143" s="6">
        <v>811</v>
      </c>
      <c r="Q143" s="6">
        <v>811</v>
      </c>
      <c r="R143" s="6">
        <v>0</v>
      </c>
      <c r="S143" s="6">
        <v>0</v>
      </c>
      <c r="T143" s="6">
        <v>0</v>
      </c>
    </row>
    <row r="144" spans="1:20">
      <c r="A144" s="5" t="s">
        <v>1672</v>
      </c>
      <c r="B144" s="5" t="s">
        <v>1673</v>
      </c>
      <c r="C144" s="5" t="s">
        <v>1715</v>
      </c>
      <c r="D144" s="5" t="s">
        <v>325</v>
      </c>
      <c r="E144" s="5" t="s">
        <v>1718</v>
      </c>
      <c r="F144" s="5" t="s">
        <v>1719</v>
      </c>
      <c r="G144" s="5" t="s">
        <v>1718</v>
      </c>
      <c r="H144" s="5" t="s">
        <v>1719</v>
      </c>
      <c r="I144" s="5" t="s">
        <v>1869</v>
      </c>
      <c r="J144" s="5" t="s">
        <v>1678</v>
      </c>
      <c r="K144" s="5" t="s">
        <v>1679</v>
      </c>
      <c r="L144" s="5" t="s">
        <v>1680</v>
      </c>
      <c r="M144" s="5" t="s">
        <v>1681</v>
      </c>
      <c r="N144" s="5" t="s">
        <v>1682</v>
      </c>
      <c r="O144" s="5" t="s">
        <v>1680</v>
      </c>
      <c r="P144" s="6">
        <v>811</v>
      </c>
      <c r="Q144" s="6">
        <v>811</v>
      </c>
      <c r="R144" s="6">
        <v>0</v>
      </c>
      <c r="S144" s="6">
        <v>0</v>
      </c>
      <c r="T144" s="6">
        <v>0</v>
      </c>
    </row>
    <row r="145" spans="1:20">
      <c r="A145" s="5" t="s">
        <v>1672</v>
      </c>
      <c r="B145" s="5" t="s">
        <v>1673</v>
      </c>
      <c r="C145" s="5" t="s">
        <v>1715</v>
      </c>
      <c r="D145" s="5" t="s">
        <v>325</v>
      </c>
      <c r="E145" s="5" t="s">
        <v>1720</v>
      </c>
      <c r="F145" s="5" t="s">
        <v>1721</v>
      </c>
      <c r="G145" s="5" t="s">
        <v>1720</v>
      </c>
      <c r="H145" s="5" t="s">
        <v>1721</v>
      </c>
      <c r="I145" s="5" t="s">
        <v>1869</v>
      </c>
      <c r="J145" s="5" t="s">
        <v>1678</v>
      </c>
      <c r="K145" s="5" t="s">
        <v>1679</v>
      </c>
      <c r="L145" s="5" t="s">
        <v>1680</v>
      </c>
      <c r="M145" s="5" t="s">
        <v>1681</v>
      </c>
      <c r="N145" s="5" t="s">
        <v>1682</v>
      </c>
      <c r="O145" s="5" t="s">
        <v>1680</v>
      </c>
      <c r="P145" s="6">
        <v>811</v>
      </c>
      <c r="Q145" s="6">
        <v>811</v>
      </c>
      <c r="R145" s="6">
        <v>0</v>
      </c>
      <c r="S145" s="6">
        <v>0</v>
      </c>
      <c r="T145" s="6">
        <v>0</v>
      </c>
    </row>
    <row r="146" spans="1:20">
      <c r="A146" s="5" t="s">
        <v>1672</v>
      </c>
      <c r="B146" s="5" t="s">
        <v>1673</v>
      </c>
      <c r="C146" s="5" t="s">
        <v>1715</v>
      </c>
      <c r="D146" s="5" t="s">
        <v>325</v>
      </c>
      <c r="E146" s="5" t="s">
        <v>1722</v>
      </c>
      <c r="F146" s="5" t="s">
        <v>1723</v>
      </c>
      <c r="G146" s="5" t="s">
        <v>1724</v>
      </c>
      <c r="H146" s="5" t="s">
        <v>1725</v>
      </c>
      <c r="I146" s="5" t="s">
        <v>1869</v>
      </c>
      <c r="J146" s="5" t="s">
        <v>1678</v>
      </c>
      <c r="K146" s="5" t="s">
        <v>1679</v>
      </c>
      <c r="L146" s="5" t="s">
        <v>1680</v>
      </c>
      <c r="M146" s="5" t="s">
        <v>1681</v>
      </c>
      <c r="N146" s="5" t="s">
        <v>1682</v>
      </c>
      <c r="O146" s="5" t="s">
        <v>1680</v>
      </c>
      <c r="P146" s="6">
        <v>811</v>
      </c>
      <c r="Q146" s="6">
        <v>811</v>
      </c>
      <c r="R146" s="6">
        <v>0</v>
      </c>
      <c r="S146" s="6">
        <v>0</v>
      </c>
      <c r="T146" s="6">
        <v>0</v>
      </c>
    </row>
    <row r="147" spans="1:20">
      <c r="A147" s="5" t="s">
        <v>1672</v>
      </c>
      <c r="B147" s="5" t="s">
        <v>1673</v>
      </c>
      <c r="C147" s="5" t="s">
        <v>1715</v>
      </c>
      <c r="D147" s="5" t="s">
        <v>325</v>
      </c>
      <c r="E147" s="5" t="s">
        <v>1726</v>
      </c>
      <c r="F147" s="5" t="s">
        <v>1727</v>
      </c>
      <c r="G147" s="5" t="s">
        <v>1726</v>
      </c>
      <c r="H147" s="5" t="s">
        <v>1727</v>
      </c>
      <c r="I147" s="5" t="s">
        <v>1869</v>
      </c>
      <c r="J147" s="5" t="s">
        <v>1678</v>
      </c>
      <c r="K147" s="5" t="s">
        <v>1679</v>
      </c>
      <c r="L147" s="5" t="s">
        <v>1680</v>
      </c>
      <c r="M147" s="5" t="s">
        <v>1681</v>
      </c>
      <c r="N147" s="5" t="s">
        <v>1682</v>
      </c>
      <c r="O147" s="5" t="s">
        <v>1680</v>
      </c>
      <c r="P147" s="6">
        <v>811</v>
      </c>
      <c r="Q147" s="6">
        <v>811</v>
      </c>
      <c r="R147" s="6">
        <v>0</v>
      </c>
      <c r="S147" s="6">
        <v>0</v>
      </c>
      <c r="T147" s="6">
        <v>0</v>
      </c>
    </row>
    <row r="148" spans="1:20">
      <c r="A148" s="5" t="s">
        <v>1672</v>
      </c>
      <c r="B148" s="5" t="s">
        <v>1673</v>
      </c>
      <c r="C148" s="5" t="s">
        <v>1715</v>
      </c>
      <c r="D148" s="5" t="s">
        <v>325</v>
      </c>
      <c r="E148" s="5" t="s">
        <v>1728</v>
      </c>
      <c r="F148" s="5" t="s">
        <v>1729</v>
      </c>
      <c r="G148" s="5" t="s">
        <v>1728</v>
      </c>
      <c r="H148" s="5" t="s">
        <v>1729</v>
      </c>
      <c r="I148" s="5" t="s">
        <v>1869</v>
      </c>
      <c r="J148" s="5" t="s">
        <v>1678</v>
      </c>
      <c r="K148" s="5" t="s">
        <v>1679</v>
      </c>
      <c r="L148" s="5" t="s">
        <v>1680</v>
      </c>
      <c r="M148" s="5" t="s">
        <v>1681</v>
      </c>
      <c r="N148" s="5" t="s">
        <v>1682</v>
      </c>
      <c r="O148" s="5" t="s">
        <v>1680</v>
      </c>
      <c r="P148" s="6">
        <v>811</v>
      </c>
      <c r="Q148" s="6">
        <v>811</v>
      </c>
      <c r="R148" s="6">
        <v>0</v>
      </c>
      <c r="S148" s="6">
        <v>0</v>
      </c>
      <c r="T148" s="6">
        <v>0</v>
      </c>
    </row>
    <row r="149" spans="1:20">
      <c r="A149" s="5" t="s">
        <v>1672</v>
      </c>
      <c r="B149" s="5" t="s">
        <v>1673</v>
      </c>
      <c r="C149" s="5" t="s">
        <v>1715</v>
      </c>
      <c r="D149" s="5" t="s">
        <v>325</v>
      </c>
      <c r="E149" s="5" t="s">
        <v>1730</v>
      </c>
      <c r="F149" s="5" t="s">
        <v>1731</v>
      </c>
      <c r="G149" s="5" t="s">
        <v>1730</v>
      </c>
      <c r="H149" s="5" t="s">
        <v>1731</v>
      </c>
      <c r="I149" s="5" t="s">
        <v>1869</v>
      </c>
      <c r="J149" s="5" t="s">
        <v>1678</v>
      </c>
      <c r="K149" s="5" t="s">
        <v>1679</v>
      </c>
      <c r="L149" s="5" t="s">
        <v>1680</v>
      </c>
      <c r="M149" s="5" t="s">
        <v>1681</v>
      </c>
      <c r="N149" s="5" t="s">
        <v>1682</v>
      </c>
      <c r="O149" s="5" t="s">
        <v>1680</v>
      </c>
      <c r="P149" s="6">
        <v>811</v>
      </c>
      <c r="Q149" s="6">
        <v>811</v>
      </c>
      <c r="R149" s="6">
        <v>0</v>
      </c>
      <c r="S149" s="6">
        <v>0</v>
      </c>
      <c r="T149" s="6">
        <v>0</v>
      </c>
    </row>
    <row r="150" spans="1:20">
      <c r="A150" s="5" t="s">
        <v>1672</v>
      </c>
      <c r="B150" s="5" t="s">
        <v>1673</v>
      </c>
      <c r="C150" s="5" t="s">
        <v>1715</v>
      </c>
      <c r="D150" s="5" t="s">
        <v>325</v>
      </c>
      <c r="E150" s="5" t="s">
        <v>1732</v>
      </c>
      <c r="F150" s="5" t="s">
        <v>1733</v>
      </c>
      <c r="G150" s="5" t="s">
        <v>1732</v>
      </c>
      <c r="H150" s="5" t="s">
        <v>1733</v>
      </c>
      <c r="I150" s="5" t="s">
        <v>1869</v>
      </c>
      <c r="J150" s="5" t="s">
        <v>1678</v>
      </c>
      <c r="K150" s="5" t="s">
        <v>1679</v>
      </c>
      <c r="L150" s="5" t="s">
        <v>1680</v>
      </c>
      <c r="M150" s="5" t="s">
        <v>1681</v>
      </c>
      <c r="N150" s="5" t="s">
        <v>1682</v>
      </c>
      <c r="O150" s="5" t="s">
        <v>1680</v>
      </c>
      <c r="P150" s="6">
        <v>811</v>
      </c>
      <c r="Q150" s="6">
        <v>811</v>
      </c>
      <c r="R150" s="6">
        <v>0</v>
      </c>
      <c r="S150" s="6">
        <v>0</v>
      </c>
      <c r="T150" s="6">
        <v>0</v>
      </c>
    </row>
    <row r="151" spans="1:20">
      <c r="A151" s="5" t="s">
        <v>1672</v>
      </c>
      <c r="B151" s="5" t="s">
        <v>1673</v>
      </c>
      <c r="C151" s="5" t="s">
        <v>1715</v>
      </c>
      <c r="D151" s="5" t="s">
        <v>325</v>
      </c>
      <c r="E151" s="5" t="s">
        <v>1734</v>
      </c>
      <c r="F151" s="5" t="s">
        <v>1735</v>
      </c>
      <c r="G151" s="5" t="s">
        <v>1734</v>
      </c>
      <c r="H151" s="5" t="s">
        <v>1735</v>
      </c>
      <c r="I151" s="5" t="s">
        <v>1869</v>
      </c>
      <c r="J151" s="5" t="s">
        <v>1678</v>
      </c>
      <c r="K151" s="5" t="s">
        <v>1679</v>
      </c>
      <c r="L151" s="5" t="s">
        <v>1680</v>
      </c>
      <c r="M151" s="5" t="s">
        <v>1681</v>
      </c>
      <c r="N151" s="5" t="s">
        <v>1682</v>
      </c>
      <c r="O151" s="5" t="s">
        <v>1680</v>
      </c>
      <c r="P151" s="6">
        <v>811</v>
      </c>
      <c r="Q151" s="6">
        <v>811</v>
      </c>
      <c r="R151" s="6">
        <v>0</v>
      </c>
      <c r="S151" s="6">
        <v>0</v>
      </c>
      <c r="T151" s="6">
        <v>0</v>
      </c>
    </row>
    <row r="152" spans="1:20">
      <c r="A152" s="5" t="s">
        <v>1672</v>
      </c>
      <c r="B152" s="5" t="s">
        <v>1673</v>
      </c>
      <c r="C152" s="5" t="s">
        <v>1715</v>
      </c>
      <c r="D152" s="5" t="s">
        <v>325</v>
      </c>
      <c r="E152" s="5" t="s">
        <v>1736</v>
      </c>
      <c r="F152" s="5" t="s">
        <v>1737</v>
      </c>
      <c r="G152" s="5" t="s">
        <v>1738</v>
      </c>
      <c r="H152" s="5" t="s">
        <v>1739</v>
      </c>
      <c r="I152" s="5" t="s">
        <v>1869</v>
      </c>
      <c r="J152" s="5" t="s">
        <v>1678</v>
      </c>
      <c r="K152" s="5" t="s">
        <v>1679</v>
      </c>
      <c r="L152" s="5" t="s">
        <v>1680</v>
      </c>
      <c r="M152" s="5" t="s">
        <v>1681</v>
      </c>
      <c r="N152" s="5" t="s">
        <v>1682</v>
      </c>
      <c r="O152" s="5" t="s">
        <v>1680</v>
      </c>
      <c r="P152" s="6">
        <v>811</v>
      </c>
      <c r="Q152" s="6">
        <v>811</v>
      </c>
      <c r="R152" s="6">
        <v>0</v>
      </c>
      <c r="S152" s="6">
        <v>0</v>
      </c>
      <c r="T152" s="6">
        <v>0</v>
      </c>
    </row>
    <row r="153" spans="1:20">
      <c r="A153" s="5" t="s">
        <v>1672</v>
      </c>
      <c r="B153" s="5" t="s">
        <v>1673</v>
      </c>
      <c r="C153" s="5" t="s">
        <v>1715</v>
      </c>
      <c r="D153" s="5" t="s">
        <v>325</v>
      </c>
      <c r="E153" s="5" t="s">
        <v>1740</v>
      </c>
      <c r="F153" s="5" t="s">
        <v>1741</v>
      </c>
      <c r="G153" s="5" t="s">
        <v>1740</v>
      </c>
      <c r="H153" s="5" t="s">
        <v>1741</v>
      </c>
      <c r="I153" s="5" t="s">
        <v>1869</v>
      </c>
      <c r="J153" s="5" t="s">
        <v>1678</v>
      </c>
      <c r="K153" s="5" t="s">
        <v>1679</v>
      </c>
      <c r="L153" s="5" t="s">
        <v>1680</v>
      </c>
      <c r="M153" s="5" t="s">
        <v>1681</v>
      </c>
      <c r="N153" s="5" t="s">
        <v>1682</v>
      </c>
      <c r="O153" s="5" t="s">
        <v>1680</v>
      </c>
      <c r="P153" s="6">
        <v>811</v>
      </c>
      <c r="Q153" s="6">
        <v>811</v>
      </c>
      <c r="R153" s="6">
        <v>0</v>
      </c>
      <c r="S153" s="6">
        <v>0</v>
      </c>
      <c r="T153" s="6">
        <v>0</v>
      </c>
    </row>
    <row r="154" spans="1:20">
      <c r="A154" s="5" t="s">
        <v>1672</v>
      </c>
      <c r="B154" s="5" t="s">
        <v>1673</v>
      </c>
      <c r="C154" s="5" t="s">
        <v>1715</v>
      </c>
      <c r="D154" s="5" t="s">
        <v>325</v>
      </c>
      <c r="E154" s="5" t="s">
        <v>1742</v>
      </c>
      <c r="F154" s="5" t="s">
        <v>1743</v>
      </c>
      <c r="G154" s="5" t="s">
        <v>1744</v>
      </c>
      <c r="H154" s="5" t="s">
        <v>1745</v>
      </c>
      <c r="I154" s="5" t="s">
        <v>1869</v>
      </c>
      <c r="J154" s="5" t="s">
        <v>1678</v>
      </c>
      <c r="K154" s="5" t="s">
        <v>1679</v>
      </c>
      <c r="L154" s="5" t="s">
        <v>1680</v>
      </c>
      <c r="M154" s="5" t="s">
        <v>1681</v>
      </c>
      <c r="N154" s="5" t="s">
        <v>1682</v>
      </c>
      <c r="O154" s="5" t="s">
        <v>1680</v>
      </c>
      <c r="P154" s="6">
        <v>811</v>
      </c>
      <c r="Q154" s="6">
        <v>811</v>
      </c>
      <c r="R154" s="6">
        <v>0</v>
      </c>
      <c r="S154" s="6">
        <v>0</v>
      </c>
      <c r="T154" s="6">
        <v>0</v>
      </c>
    </row>
    <row r="155" spans="1:20">
      <c r="A155" s="5" t="s">
        <v>1672</v>
      </c>
      <c r="B155" s="5" t="s">
        <v>1673</v>
      </c>
      <c r="C155" s="5" t="s">
        <v>1715</v>
      </c>
      <c r="D155" s="5" t="s">
        <v>325</v>
      </c>
      <c r="E155" s="5" t="s">
        <v>1746</v>
      </c>
      <c r="F155" s="5" t="s">
        <v>1747</v>
      </c>
      <c r="G155" s="5" t="s">
        <v>1748</v>
      </c>
      <c r="H155" s="5" t="s">
        <v>1749</v>
      </c>
      <c r="I155" s="5" t="s">
        <v>1869</v>
      </c>
      <c r="J155" s="5" t="s">
        <v>1678</v>
      </c>
      <c r="K155" s="5" t="s">
        <v>1679</v>
      </c>
      <c r="L155" s="5" t="s">
        <v>1680</v>
      </c>
      <c r="M155" s="5" t="s">
        <v>1681</v>
      </c>
      <c r="N155" s="5" t="s">
        <v>1682</v>
      </c>
      <c r="O155" s="5" t="s">
        <v>1680</v>
      </c>
      <c r="P155" s="6">
        <v>811</v>
      </c>
      <c r="Q155" s="6">
        <v>811</v>
      </c>
      <c r="R155" s="6">
        <v>0</v>
      </c>
      <c r="S155" s="6">
        <v>0</v>
      </c>
      <c r="T155" s="6">
        <v>0</v>
      </c>
    </row>
    <row r="156" spans="1:20">
      <c r="A156" s="5" t="s">
        <v>1672</v>
      </c>
      <c r="B156" s="5" t="s">
        <v>1673</v>
      </c>
      <c r="C156" s="5" t="s">
        <v>1715</v>
      </c>
      <c r="D156" s="5" t="s">
        <v>325</v>
      </c>
      <c r="E156" s="5" t="s">
        <v>1750</v>
      </c>
      <c r="F156" s="5" t="s">
        <v>1751</v>
      </c>
      <c r="G156" s="5" t="s">
        <v>1752</v>
      </c>
      <c r="H156" s="5" t="s">
        <v>1753</v>
      </c>
      <c r="I156" s="5" t="s">
        <v>1869</v>
      </c>
      <c r="J156" s="5" t="s">
        <v>1678</v>
      </c>
      <c r="K156" s="5" t="s">
        <v>1679</v>
      </c>
      <c r="L156" s="5" t="s">
        <v>1680</v>
      </c>
      <c r="M156" s="5" t="s">
        <v>1681</v>
      </c>
      <c r="N156" s="5" t="s">
        <v>1682</v>
      </c>
      <c r="O156" s="5" t="s">
        <v>1680</v>
      </c>
      <c r="P156" s="6">
        <v>811</v>
      </c>
      <c r="Q156" s="6">
        <v>811</v>
      </c>
      <c r="R156" s="6">
        <v>0</v>
      </c>
      <c r="S156" s="6">
        <v>0</v>
      </c>
      <c r="T156" s="6">
        <v>0</v>
      </c>
    </row>
    <row r="157" spans="1:20">
      <c r="A157" s="5" t="s">
        <v>1672</v>
      </c>
      <c r="B157" s="5" t="s">
        <v>1673</v>
      </c>
      <c r="C157" s="5" t="s">
        <v>1715</v>
      </c>
      <c r="D157" s="5" t="s">
        <v>325</v>
      </c>
      <c r="E157" s="5" t="s">
        <v>1754</v>
      </c>
      <c r="F157" s="5" t="s">
        <v>1755</v>
      </c>
      <c r="G157" s="5" t="s">
        <v>1756</v>
      </c>
      <c r="H157" s="5" t="s">
        <v>1757</v>
      </c>
      <c r="I157" s="5" t="s">
        <v>1869</v>
      </c>
      <c r="J157" s="5" t="s">
        <v>1678</v>
      </c>
      <c r="K157" s="5" t="s">
        <v>1679</v>
      </c>
      <c r="L157" s="5" t="s">
        <v>1680</v>
      </c>
      <c r="M157" s="5" t="s">
        <v>1681</v>
      </c>
      <c r="N157" s="5" t="s">
        <v>1682</v>
      </c>
      <c r="O157" s="5" t="s">
        <v>1680</v>
      </c>
      <c r="P157" s="6">
        <v>811</v>
      </c>
      <c r="Q157" s="6">
        <v>811</v>
      </c>
      <c r="R157" s="6">
        <v>0</v>
      </c>
      <c r="S157" s="6">
        <v>0</v>
      </c>
      <c r="T157" s="6">
        <v>0</v>
      </c>
    </row>
    <row r="158" spans="1:20">
      <c r="A158" s="5" t="s">
        <v>1672</v>
      </c>
      <c r="B158" s="5" t="s">
        <v>1673</v>
      </c>
      <c r="C158" s="5" t="s">
        <v>1715</v>
      </c>
      <c r="D158" s="5" t="s">
        <v>325</v>
      </c>
      <c r="E158" s="5" t="s">
        <v>1758</v>
      </c>
      <c r="F158" s="5" t="s">
        <v>1759</v>
      </c>
      <c r="G158" s="5" t="s">
        <v>1758</v>
      </c>
      <c r="H158" s="5" t="s">
        <v>1759</v>
      </c>
      <c r="I158" s="5" t="s">
        <v>1869</v>
      </c>
      <c r="J158" s="5" t="s">
        <v>1678</v>
      </c>
      <c r="K158" s="5" t="s">
        <v>1679</v>
      </c>
      <c r="L158" s="5" t="s">
        <v>1680</v>
      </c>
      <c r="M158" s="5" t="s">
        <v>1681</v>
      </c>
      <c r="N158" s="5" t="s">
        <v>1682</v>
      </c>
      <c r="O158" s="5" t="s">
        <v>1680</v>
      </c>
      <c r="P158" s="6">
        <v>811</v>
      </c>
      <c r="Q158" s="6">
        <v>811</v>
      </c>
      <c r="R158" s="6">
        <v>0</v>
      </c>
      <c r="S158" s="6">
        <v>0</v>
      </c>
      <c r="T158" s="6">
        <v>0</v>
      </c>
    </row>
    <row r="159" spans="1:20">
      <c r="A159" s="5" t="s">
        <v>1672</v>
      </c>
      <c r="B159" s="5" t="s">
        <v>1673</v>
      </c>
      <c r="C159" s="5" t="s">
        <v>1715</v>
      </c>
      <c r="D159" s="5" t="s">
        <v>325</v>
      </c>
      <c r="E159" s="5" t="s">
        <v>1760</v>
      </c>
      <c r="F159" s="5" t="s">
        <v>1761</v>
      </c>
      <c r="G159" s="5" t="s">
        <v>1760</v>
      </c>
      <c r="H159" s="5" t="s">
        <v>1761</v>
      </c>
      <c r="I159" s="5" t="s">
        <v>1869</v>
      </c>
      <c r="J159" s="5" t="s">
        <v>1678</v>
      </c>
      <c r="K159" s="5" t="s">
        <v>1679</v>
      </c>
      <c r="L159" s="5" t="s">
        <v>1680</v>
      </c>
      <c r="M159" s="5" t="s">
        <v>1681</v>
      </c>
      <c r="N159" s="5" t="s">
        <v>1682</v>
      </c>
      <c r="O159" s="5" t="s">
        <v>1680</v>
      </c>
      <c r="P159" s="6">
        <v>811</v>
      </c>
      <c r="Q159" s="6">
        <v>811</v>
      </c>
      <c r="R159" s="6">
        <v>0</v>
      </c>
      <c r="S159" s="6">
        <v>0</v>
      </c>
      <c r="T159" s="6">
        <v>0</v>
      </c>
    </row>
    <row r="160" spans="1:20">
      <c r="A160" s="5" t="s">
        <v>1672</v>
      </c>
      <c r="B160" s="5" t="s">
        <v>1673</v>
      </c>
      <c r="C160" s="5" t="s">
        <v>1715</v>
      </c>
      <c r="D160" s="5" t="s">
        <v>325</v>
      </c>
      <c r="E160" s="5" t="s">
        <v>1762</v>
      </c>
      <c r="F160" s="5" t="s">
        <v>1763</v>
      </c>
      <c r="G160" s="5" t="s">
        <v>1764</v>
      </c>
      <c r="H160" s="5" t="s">
        <v>1765</v>
      </c>
      <c r="I160" s="5" t="s">
        <v>1869</v>
      </c>
      <c r="J160" s="5" t="s">
        <v>1678</v>
      </c>
      <c r="K160" s="5" t="s">
        <v>1679</v>
      </c>
      <c r="L160" s="5" t="s">
        <v>1680</v>
      </c>
      <c r="M160" s="5" t="s">
        <v>1681</v>
      </c>
      <c r="N160" s="5" t="s">
        <v>1682</v>
      </c>
      <c r="O160" s="5" t="s">
        <v>1680</v>
      </c>
      <c r="P160" s="6">
        <v>811</v>
      </c>
      <c r="Q160" s="6">
        <v>811</v>
      </c>
      <c r="R160" s="6">
        <v>0</v>
      </c>
      <c r="S160" s="6">
        <v>0</v>
      </c>
      <c r="T160" s="6">
        <v>0</v>
      </c>
    </row>
    <row r="161" spans="1:20">
      <c r="A161" s="5" t="s">
        <v>1672</v>
      </c>
      <c r="B161" s="5" t="s">
        <v>1673</v>
      </c>
      <c r="C161" s="5" t="s">
        <v>1715</v>
      </c>
      <c r="D161" s="5" t="s">
        <v>325</v>
      </c>
      <c r="E161" s="5" t="s">
        <v>1766</v>
      </c>
      <c r="F161" s="5" t="s">
        <v>1767</v>
      </c>
      <c r="G161" s="5" t="s">
        <v>1766</v>
      </c>
      <c r="H161" s="5" t="s">
        <v>1767</v>
      </c>
      <c r="I161" s="5" t="s">
        <v>1869</v>
      </c>
      <c r="J161" s="5" t="s">
        <v>1678</v>
      </c>
      <c r="K161" s="5" t="s">
        <v>1679</v>
      </c>
      <c r="L161" s="5" t="s">
        <v>1680</v>
      </c>
      <c r="M161" s="5" t="s">
        <v>1681</v>
      </c>
      <c r="N161" s="5" t="s">
        <v>1682</v>
      </c>
      <c r="O161" s="5" t="s">
        <v>1680</v>
      </c>
      <c r="P161" s="6">
        <v>811</v>
      </c>
      <c r="Q161" s="6">
        <v>811</v>
      </c>
      <c r="R161" s="6">
        <v>0</v>
      </c>
      <c r="S161" s="6">
        <v>0</v>
      </c>
      <c r="T161" s="6">
        <v>0</v>
      </c>
    </row>
    <row r="162" spans="1:20">
      <c r="A162" s="5" t="s">
        <v>1672</v>
      </c>
      <c r="B162" s="5" t="s">
        <v>1673</v>
      </c>
      <c r="C162" s="5" t="s">
        <v>1715</v>
      </c>
      <c r="D162" s="5" t="s">
        <v>325</v>
      </c>
      <c r="E162" s="5" t="s">
        <v>1768</v>
      </c>
      <c r="F162" s="5" t="s">
        <v>1769</v>
      </c>
      <c r="G162" s="5" t="s">
        <v>1770</v>
      </c>
      <c r="H162" s="5" t="s">
        <v>1771</v>
      </c>
      <c r="I162" s="5" t="s">
        <v>1869</v>
      </c>
      <c r="J162" s="5" t="s">
        <v>1678</v>
      </c>
      <c r="K162" s="5" t="s">
        <v>1679</v>
      </c>
      <c r="L162" s="5" t="s">
        <v>1680</v>
      </c>
      <c r="M162" s="5" t="s">
        <v>1681</v>
      </c>
      <c r="N162" s="5" t="s">
        <v>1682</v>
      </c>
      <c r="O162" s="5" t="s">
        <v>1680</v>
      </c>
      <c r="P162" s="6">
        <v>811</v>
      </c>
      <c r="Q162" s="6">
        <v>811</v>
      </c>
      <c r="R162" s="6">
        <v>0</v>
      </c>
      <c r="S162" s="6">
        <v>0</v>
      </c>
      <c r="T162" s="6">
        <v>0</v>
      </c>
    </row>
    <row r="163" spans="1:20">
      <c r="A163" s="5" t="s">
        <v>1672</v>
      </c>
      <c r="B163" s="5" t="s">
        <v>1673</v>
      </c>
      <c r="C163" s="5" t="s">
        <v>1715</v>
      </c>
      <c r="D163" s="5" t="s">
        <v>325</v>
      </c>
      <c r="E163" s="5" t="s">
        <v>1772</v>
      </c>
      <c r="F163" s="5" t="s">
        <v>1773</v>
      </c>
      <c r="G163" s="5" t="s">
        <v>1774</v>
      </c>
      <c r="H163" s="5" t="s">
        <v>1775</v>
      </c>
      <c r="I163" s="5" t="s">
        <v>1869</v>
      </c>
      <c r="J163" s="5" t="s">
        <v>1678</v>
      </c>
      <c r="K163" s="5" t="s">
        <v>1679</v>
      </c>
      <c r="L163" s="5" t="s">
        <v>1680</v>
      </c>
      <c r="M163" s="5" t="s">
        <v>1681</v>
      </c>
      <c r="N163" s="5" t="s">
        <v>1682</v>
      </c>
      <c r="O163" s="5" t="s">
        <v>1680</v>
      </c>
      <c r="P163" s="6">
        <v>811</v>
      </c>
      <c r="Q163" s="6">
        <v>811</v>
      </c>
      <c r="R163" s="6">
        <v>0</v>
      </c>
      <c r="S163" s="6">
        <v>0</v>
      </c>
      <c r="T163" s="6">
        <v>0</v>
      </c>
    </row>
    <row r="164" spans="1:20">
      <c r="A164" s="5" t="s">
        <v>1672</v>
      </c>
      <c r="B164" s="5" t="s">
        <v>1673</v>
      </c>
      <c r="C164" s="5" t="s">
        <v>1715</v>
      </c>
      <c r="D164" s="5" t="s">
        <v>325</v>
      </c>
      <c r="E164" s="5" t="s">
        <v>1776</v>
      </c>
      <c r="F164" s="5" t="s">
        <v>1777</v>
      </c>
      <c r="G164" s="5" t="s">
        <v>1778</v>
      </c>
      <c r="H164" s="5" t="s">
        <v>1779</v>
      </c>
      <c r="I164" s="5" t="s">
        <v>1869</v>
      </c>
      <c r="J164" s="5" t="s">
        <v>1678</v>
      </c>
      <c r="K164" s="5" t="s">
        <v>1679</v>
      </c>
      <c r="L164" s="5" t="s">
        <v>1680</v>
      </c>
      <c r="M164" s="5" t="s">
        <v>1681</v>
      </c>
      <c r="N164" s="5" t="s">
        <v>1682</v>
      </c>
      <c r="O164" s="5" t="s">
        <v>1680</v>
      </c>
      <c r="P164" s="6">
        <v>811</v>
      </c>
      <c r="Q164" s="6">
        <v>811</v>
      </c>
      <c r="R164" s="6">
        <v>0</v>
      </c>
      <c r="S164" s="6">
        <v>0</v>
      </c>
      <c r="T164" s="6">
        <v>0</v>
      </c>
    </row>
    <row r="165" spans="1:20">
      <c r="A165" s="5" t="s">
        <v>1672</v>
      </c>
      <c r="B165" s="5" t="s">
        <v>1673</v>
      </c>
      <c r="C165" s="5" t="s">
        <v>1715</v>
      </c>
      <c r="D165" s="5" t="s">
        <v>325</v>
      </c>
      <c r="E165" s="5" t="s">
        <v>1780</v>
      </c>
      <c r="F165" s="5" t="s">
        <v>1781</v>
      </c>
      <c r="G165" s="5" t="s">
        <v>1780</v>
      </c>
      <c r="H165" s="5" t="s">
        <v>1781</v>
      </c>
      <c r="I165" s="5" t="s">
        <v>1869</v>
      </c>
      <c r="J165" s="5" t="s">
        <v>1678</v>
      </c>
      <c r="K165" s="5" t="s">
        <v>1679</v>
      </c>
      <c r="L165" s="5" t="s">
        <v>1680</v>
      </c>
      <c r="M165" s="5" t="s">
        <v>1681</v>
      </c>
      <c r="N165" s="5" t="s">
        <v>1682</v>
      </c>
      <c r="O165" s="5" t="s">
        <v>1680</v>
      </c>
      <c r="P165" s="6">
        <v>811</v>
      </c>
      <c r="Q165" s="6">
        <v>811</v>
      </c>
      <c r="R165" s="6">
        <v>0</v>
      </c>
      <c r="S165" s="6">
        <v>0</v>
      </c>
      <c r="T165" s="6">
        <v>0</v>
      </c>
    </row>
    <row r="166" spans="1:20">
      <c r="A166" s="5" t="s">
        <v>1672</v>
      </c>
      <c r="B166" s="5" t="s">
        <v>1673</v>
      </c>
      <c r="C166" s="5" t="s">
        <v>1715</v>
      </c>
      <c r="D166" s="5" t="s">
        <v>325</v>
      </c>
      <c r="E166" s="5" t="s">
        <v>1782</v>
      </c>
      <c r="F166" s="5" t="s">
        <v>1783</v>
      </c>
      <c r="G166" s="5" t="s">
        <v>1782</v>
      </c>
      <c r="H166" s="5" t="s">
        <v>1783</v>
      </c>
      <c r="I166" s="5" t="s">
        <v>1869</v>
      </c>
      <c r="J166" s="5" t="s">
        <v>1678</v>
      </c>
      <c r="K166" s="5" t="s">
        <v>1679</v>
      </c>
      <c r="L166" s="5" t="s">
        <v>1680</v>
      </c>
      <c r="M166" s="5" t="s">
        <v>1681</v>
      </c>
      <c r="N166" s="5" t="s">
        <v>1682</v>
      </c>
      <c r="O166" s="5" t="s">
        <v>1680</v>
      </c>
      <c r="P166" s="6">
        <v>811</v>
      </c>
      <c r="Q166" s="6">
        <v>811</v>
      </c>
      <c r="R166" s="6">
        <v>0</v>
      </c>
      <c r="S166" s="6">
        <v>0</v>
      </c>
      <c r="T166" s="6">
        <v>0</v>
      </c>
    </row>
    <row r="167" spans="1:20">
      <c r="A167" s="5" t="s">
        <v>1672</v>
      </c>
      <c r="B167" s="5" t="s">
        <v>1673</v>
      </c>
      <c r="C167" s="5" t="s">
        <v>1715</v>
      </c>
      <c r="D167" s="5" t="s">
        <v>325</v>
      </c>
      <c r="E167" s="5" t="s">
        <v>1784</v>
      </c>
      <c r="F167" s="5" t="s">
        <v>1785</v>
      </c>
      <c r="G167" s="5" t="s">
        <v>1786</v>
      </c>
      <c r="H167" s="5" t="s">
        <v>1787</v>
      </c>
      <c r="I167" s="5" t="s">
        <v>1869</v>
      </c>
      <c r="J167" s="5" t="s">
        <v>1678</v>
      </c>
      <c r="K167" s="5" t="s">
        <v>1679</v>
      </c>
      <c r="L167" s="5" t="s">
        <v>1680</v>
      </c>
      <c r="M167" s="5" t="s">
        <v>1681</v>
      </c>
      <c r="N167" s="5" t="s">
        <v>1682</v>
      </c>
      <c r="O167" s="5" t="s">
        <v>1680</v>
      </c>
      <c r="P167" s="6">
        <v>811</v>
      </c>
      <c r="Q167" s="6">
        <v>811</v>
      </c>
      <c r="R167" s="6">
        <v>0</v>
      </c>
      <c r="S167" s="6">
        <v>0</v>
      </c>
      <c r="T167" s="6">
        <v>0</v>
      </c>
    </row>
    <row r="168" spans="1:20">
      <c r="A168" s="5" t="s">
        <v>1672</v>
      </c>
      <c r="B168" s="5" t="s">
        <v>1673</v>
      </c>
      <c r="C168" s="5" t="s">
        <v>1715</v>
      </c>
      <c r="D168" s="5" t="s">
        <v>325</v>
      </c>
      <c r="E168" s="5" t="s">
        <v>1788</v>
      </c>
      <c r="F168" s="5" t="s">
        <v>1789</v>
      </c>
      <c r="G168" s="5" t="s">
        <v>1790</v>
      </c>
      <c r="H168" s="5" t="s">
        <v>1791</v>
      </c>
      <c r="I168" s="5" t="s">
        <v>1869</v>
      </c>
      <c r="J168" s="5" t="s">
        <v>1678</v>
      </c>
      <c r="K168" s="5" t="s">
        <v>1679</v>
      </c>
      <c r="L168" s="5" t="s">
        <v>1680</v>
      </c>
      <c r="M168" s="5" t="s">
        <v>1681</v>
      </c>
      <c r="N168" s="5" t="s">
        <v>1682</v>
      </c>
      <c r="O168" s="5" t="s">
        <v>1680</v>
      </c>
      <c r="P168" s="6">
        <v>811</v>
      </c>
      <c r="Q168" s="6">
        <v>811</v>
      </c>
      <c r="R168" s="6">
        <v>0</v>
      </c>
      <c r="S168" s="6">
        <v>0</v>
      </c>
      <c r="T168" s="6">
        <v>0</v>
      </c>
    </row>
    <row r="169" spans="1:20">
      <c r="A169" s="5" t="s">
        <v>1672</v>
      </c>
      <c r="B169" s="5" t="s">
        <v>1673</v>
      </c>
      <c r="C169" s="5" t="s">
        <v>1715</v>
      </c>
      <c r="D169" s="5" t="s">
        <v>325</v>
      </c>
      <c r="E169" s="5" t="s">
        <v>1792</v>
      </c>
      <c r="F169" s="5" t="s">
        <v>1793</v>
      </c>
      <c r="G169" s="5" t="s">
        <v>1794</v>
      </c>
      <c r="H169" s="5" t="s">
        <v>1795</v>
      </c>
      <c r="I169" s="5" t="s">
        <v>1869</v>
      </c>
      <c r="J169" s="5" t="s">
        <v>1678</v>
      </c>
      <c r="K169" s="5" t="s">
        <v>1679</v>
      </c>
      <c r="L169" s="5" t="s">
        <v>1680</v>
      </c>
      <c r="M169" s="5" t="s">
        <v>1681</v>
      </c>
      <c r="N169" s="5" t="s">
        <v>1682</v>
      </c>
      <c r="O169" s="5" t="s">
        <v>1680</v>
      </c>
      <c r="P169" s="6">
        <v>811</v>
      </c>
      <c r="Q169" s="6">
        <v>811</v>
      </c>
      <c r="R169" s="6">
        <v>0</v>
      </c>
      <c r="S169" s="6">
        <v>0</v>
      </c>
      <c r="T169" s="6">
        <v>0</v>
      </c>
    </row>
    <row r="170" spans="1:20">
      <c r="A170" s="5" t="s">
        <v>1672</v>
      </c>
      <c r="B170" s="5" t="s">
        <v>1673</v>
      </c>
      <c r="C170" s="5" t="s">
        <v>1715</v>
      </c>
      <c r="D170" s="5" t="s">
        <v>325</v>
      </c>
      <c r="E170" s="5" t="s">
        <v>1796</v>
      </c>
      <c r="F170" s="5" t="s">
        <v>1797</v>
      </c>
      <c r="G170" s="5" t="s">
        <v>1796</v>
      </c>
      <c r="H170" s="5" t="s">
        <v>1797</v>
      </c>
      <c r="I170" s="5" t="s">
        <v>1869</v>
      </c>
      <c r="J170" s="5" t="s">
        <v>1678</v>
      </c>
      <c r="K170" s="5" t="s">
        <v>1679</v>
      </c>
      <c r="L170" s="5" t="s">
        <v>1680</v>
      </c>
      <c r="M170" s="5" t="s">
        <v>1681</v>
      </c>
      <c r="N170" s="5" t="s">
        <v>1682</v>
      </c>
      <c r="O170" s="5" t="s">
        <v>1680</v>
      </c>
      <c r="P170" s="6">
        <v>811</v>
      </c>
      <c r="Q170" s="6">
        <v>811</v>
      </c>
      <c r="R170" s="6">
        <v>0</v>
      </c>
      <c r="S170" s="6">
        <v>0</v>
      </c>
      <c r="T170" s="6">
        <v>0</v>
      </c>
    </row>
    <row r="171" spans="1:20">
      <c r="A171" s="5" t="s">
        <v>1672</v>
      </c>
      <c r="B171" s="5" t="s">
        <v>1673</v>
      </c>
      <c r="C171" s="5" t="s">
        <v>1715</v>
      </c>
      <c r="D171" s="5" t="s">
        <v>325</v>
      </c>
      <c r="E171" s="5" t="s">
        <v>1798</v>
      </c>
      <c r="F171" s="5" t="s">
        <v>1799</v>
      </c>
      <c r="G171" s="5" t="s">
        <v>1798</v>
      </c>
      <c r="H171" s="5" t="s">
        <v>1799</v>
      </c>
      <c r="I171" s="5" t="s">
        <v>1869</v>
      </c>
      <c r="J171" s="5" t="s">
        <v>1678</v>
      </c>
      <c r="K171" s="5" t="s">
        <v>1679</v>
      </c>
      <c r="L171" s="5" t="s">
        <v>1680</v>
      </c>
      <c r="M171" s="5" t="s">
        <v>1681</v>
      </c>
      <c r="N171" s="5" t="s">
        <v>1682</v>
      </c>
      <c r="O171" s="5" t="s">
        <v>1680</v>
      </c>
      <c r="P171" s="6">
        <v>811</v>
      </c>
      <c r="Q171" s="6">
        <v>811</v>
      </c>
      <c r="R171" s="6">
        <v>0</v>
      </c>
      <c r="S171" s="6">
        <v>0</v>
      </c>
      <c r="T171" s="6">
        <v>0</v>
      </c>
    </row>
    <row r="172" spans="1:20">
      <c r="A172" s="5" t="s">
        <v>1672</v>
      </c>
      <c r="B172" s="5" t="s">
        <v>1673</v>
      </c>
      <c r="C172" s="5" t="s">
        <v>1715</v>
      </c>
      <c r="D172" s="5" t="s">
        <v>325</v>
      </c>
      <c r="E172" s="5" t="s">
        <v>1800</v>
      </c>
      <c r="F172" s="5" t="s">
        <v>1801</v>
      </c>
      <c r="G172" s="5" t="s">
        <v>1800</v>
      </c>
      <c r="H172" s="5" t="s">
        <v>1801</v>
      </c>
      <c r="I172" s="5" t="s">
        <v>1869</v>
      </c>
      <c r="J172" s="5" t="s">
        <v>1678</v>
      </c>
      <c r="K172" s="5" t="s">
        <v>1679</v>
      </c>
      <c r="L172" s="5" t="s">
        <v>1680</v>
      </c>
      <c r="M172" s="5" t="s">
        <v>1681</v>
      </c>
      <c r="N172" s="5" t="s">
        <v>1682</v>
      </c>
      <c r="O172" s="5" t="s">
        <v>1680</v>
      </c>
      <c r="P172" s="6">
        <v>811</v>
      </c>
      <c r="Q172" s="6">
        <v>811</v>
      </c>
      <c r="R172" s="6">
        <v>0</v>
      </c>
      <c r="S172" s="6">
        <v>0</v>
      </c>
      <c r="T172" s="6">
        <v>0</v>
      </c>
    </row>
    <row r="173" spans="1:20">
      <c r="A173" s="5" t="s">
        <v>1672</v>
      </c>
      <c r="B173" s="5" t="s">
        <v>1673</v>
      </c>
      <c r="C173" s="5" t="s">
        <v>1715</v>
      </c>
      <c r="D173" s="5" t="s">
        <v>325</v>
      </c>
      <c r="E173" s="5" t="s">
        <v>1802</v>
      </c>
      <c r="F173" s="5" t="s">
        <v>1803</v>
      </c>
      <c r="G173" s="5" t="s">
        <v>1804</v>
      </c>
      <c r="H173" s="5" t="s">
        <v>1805</v>
      </c>
      <c r="I173" s="5" t="s">
        <v>1869</v>
      </c>
      <c r="J173" s="5" t="s">
        <v>1678</v>
      </c>
      <c r="K173" s="5" t="s">
        <v>1679</v>
      </c>
      <c r="L173" s="5" t="s">
        <v>1680</v>
      </c>
      <c r="M173" s="5" t="s">
        <v>1681</v>
      </c>
      <c r="N173" s="5" t="s">
        <v>1682</v>
      </c>
      <c r="O173" s="5" t="s">
        <v>1680</v>
      </c>
      <c r="P173" s="6">
        <v>811</v>
      </c>
      <c r="Q173" s="6">
        <v>811</v>
      </c>
      <c r="R173" s="6">
        <v>0</v>
      </c>
      <c r="S173" s="6">
        <v>0</v>
      </c>
      <c r="T173" s="6">
        <v>0</v>
      </c>
    </row>
    <row r="174" spans="1:20">
      <c r="A174" s="5" t="s">
        <v>1672</v>
      </c>
      <c r="B174" s="5" t="s">
        <v>1673</v>
      </c>
      <c r="C174" s="5" t="s">
        <v>1715</v>
      </c>
      <c r="D174" s="5" t="s">
        <v>325</v>
      </c>
      <c r="E174" s="5" t="s">
        <v>1806</v>
      </c>
      <c r="F174" s="5" t="s">
        <v>1807</v>
      </c>
      <c r="G174" s="5" t="s">
        <v>1808</v>
      </c>
      <c r="H174" s="5" t="s">
        <v>1809</v>
      </c>
      <c r="I174" s="5" t="s">
        <v>1869</v>
      </c>
      <c r="J174" s="5" t="s">
        <v>1678</v>
      </c>
      <c r="K174" s="5" t="s">
        <v>1679</v>
      </c>
      <c r="L174" s="5" t="s">
        <v>1680</v>
      </c>
      <c r="M174" s="5" t="s">
        <v>1681</v>
      </c>
      <c r="N174" s="5" t="s">
        <v>1682</v>
      </c>
      <c r="O174" s="5" t="s">
        <v>1680</v>
      </c>
      <c r="P174" s="6">
        <v>811</v>
      </c>
      <c r="Q174" s="6">
        <v>811</v>
      </c>
      <c r="R174" s="6">
        <v>0</v>
      </c>
      <c r="S174" s="6">
        <v>0</v>
      </c>
      <c r="T174" s="6">
        <v>0</v>
      </c>
    </row>
    <row r="175" spans="1:20">
      <c r="A175" s="5" t="s">
        <v>1672</v>
      </c>
      <c r="B175" s="5" t="s">
        <v>1673</v>
      </c>
      <c r="C175" s="5" t="s">
        <v>1715</v>
      </c>
      <c r="D175" s="5" t="s">
        <v>325</v>
      </c>
      <c r="E175" s="5" t="s">
        <v>1810</v>
      </c>
      <c r="F175" s="5" t="s">
        <v>1811</v>
      </c>
      <c r="G175" s="5" t="s">
        <v>1812</v>
      </c>
      <c r="H175" s="5" t="s">
        <v>1813</v>
      </c>
      <c r="I175" s="5" t="s">
        <v>1869</v>
      </c>
      <c r="J175" s="5" t="s">
        <v>1678</v>
      </c>
      <c r="K175" s="5" t="s">
        <v>1679</v>
      </c>
      <c r="L175" s="5" t="s">
        <v>1680</v>
      </c>
      <c r="M175" s="5" t="s">
        <v>1681</v>
      </c>
      <c r="N175" s="5" t="s">
        <v>1682</v>
      </c>
      <c r="O175" s="5" t="s">
        <v>1680</v>
      </c>
      <c r="P175" s="6">
        <v>811</v>
      </c>
      <c r="Q175" s="6">
        <v>811</v>
      </c>
      <c r="R175" s="6">
        <v>0</v>
      </c>
      <c r="S175" s="6">
        <v>0</v>
      </c>
      <c r="T175" s="6">
        <v>0</v>
      </c>
    </row>
    <row r="176" spans="1:20">
      <c r="A176" s="5" t="s">
        <v>1672</v>
      </c>
      <c r="B176" s="5" t="s">
        <v>1673</v>
      </c>
      <c r="C176" s="5" t="s">
        <v>1715</v>
      </c>
      <c r="D176" s="5" t="s">
        <v>325</v>
      </c>
      <c r="E176" s="5" t="s">
        <v>1814</v>
      </c>
      <c r="F176" s="5" t="s">
        <v>1815</v>
      </c>
      <c r="G176" s="5" t="s">
        <v>1814</v>
      </c>
      <c r="H176" s="5" t="s">
        <v>1815</v>
      </c>
      <c r="I176" s="5" t="s">
        <v>1869</v>
      </c>
      <c r="J176" s="5" t="s">
        <v>1678</v>
      </c>
      <c r="K176" s="5" t="s">
        <v>1679</v>
      </c>
      <c r="L176" s="5" t="s">
        <v>1680</v>
      </c>
      <c r="M176" s="5" t="s">
        <v>1681</v>
      </c>
      <c r="N176" s="5" t="s">
        <v>1682</v>
      </c>
      <c r="O176" s="5" t="s">
        <v>1680</v>
      </c>
      <c r="P176" s="6">
        <v>811</v>
      </c>
      <c r="Q176" s="6">
        <v>811</v>
      </c>
      <c r="R176" s="6">
        <v>0</v>
      </c>
      <c r="S176" s="6">
        <v>0</v>
      </c>
      <c r="T176" s="6">
        <v>0</v>
      </c>
    </row>
    <row r="177" spans="1:20">
      <c r="A177" s="5" t="s">
        <v>1672</v>
      </c>
      <c r="B177" s="5" t="s">
        <v>1673</v>
      </c>
      <c r="C177" s="5" t="s">
        <v>1715</v>
      </c>
      <c r="D177" s="5" t="s">
        <v>325</v>
      </c>
      <c r="E177" s="5" t="s">
        <v>1816</v>
      </c>
      <c r="F177" s="5" t="s">
        <v>1817</v>
      </c>
      <c r="G177" s="5" t="s">
        <v>1818</v>
      </c>
      <c r="H177" s="5" t="s">
        <v>1819</v>
      </c>
      <c r="I177" s="5" t="s">
        <v>1869</v>
      </c>
      <c r="J177" s="5" t="s">
        <v>1678</v>
      </c>
      <c r="K177" s="5" t="s">
        <v>1679</v>
      </c>
      <c r="L177" s="5" t="s">
        <v>1680</v>
      </c>
      <c r="M177" s="5" t="s">
        <v>1681</v>
      </c>
      <c r="N177" s="5" t="s">
        <v>1682</v>
      </c>
      <c r="O177" s="5" t="s">
        <v>1680</v>
      </c>
      <c r="P177" s="6">
        <v>811</v>
      </c>
      <c r="Q177" s="6">
        <v>811</v>
      </c>
      <c r="R177" s="6">
        <v>0</v>
      </c>
      <c r="S177" s="6">
        <v>0</v>
      </c>
      <c r="T177" s="6">
        <v>0</v>
      </c>
    </row>
    <row r="178" spans="1:20">
      <c r="A178" s="5" t="s">
        <v>1672</v>
      </c>
      <c r="B178" s="5" t="s">
        <v>1673</v>
      </c>
      <c r="C178" s="5" t="s">
        <v>1715</v>
      </c>
      <c r="D178" s="5" t="s">
        <v>325</v>
      </c>
      <c r="E178" s="5" t="s">
        <v>1820</v>
      </c>
      <c r="F178" s="5" t="s">
        <v>1821</v>
      </c>
      <c r="G178" s="5" t="s">
        <v>1822</v>
      </c>
      <c r="H178" s="5" t="s">
        <v>1823</v>
      </c>
      <c r="I178" s="5" t="s">
        <v>1869</v>
      </c>
      <c r="J178" s="5" t="s">
        <v>1678</v>
      </c>
      <c r="K178" s="5" t="s">
        <v>1679</v>
      </c>
      <c r="L178" s="5" t="s">
        <v>1680</v>
      </c>
      <c r="M178" s="5" t="s">
        <v>1681</v>
      </c>
      <c r="N178" s="5" t="s">
        <v>1682</v>
      </c>
      <c r="O178" s="5" t="s">
        <v>1680</v>
      </c>
      <c r="P178" s="6">
        <v>811</v>
      </c>
      <c r="Q178" s="6">
        <v>811</v>
      </c>
      <c r="R178" s="6">
        <v>0</v>
      </c>
      <c r="S178" s="6">
        <v>0</v>
      </c>
      <c r="T178" s="6">
        <v>0</v>
      </c>
    </row>
    <row r="179" spans="1:20">
      <c r="A179" s="5" t="s">
        <v>1672</v>
      </c>
      <c r="B179" s="5" t="s">
        <v>1673</v>
      </c>
      <c r="C179" s="5" t="s">
        <v>1715</v>
      </c>
      <c r="D179" s="5" t="s">
        <v>325</v>
      </c>
      <c r="E179" s="5" t="s">
        <v>1824</v>
      </c>
      <c r="F179" s="5" t="s">
        <v>1825</v>
      </c>
      <c r="G179" s="5" t="s">
        <v>1826</v>
      </c>
      <c r="H179" s="5" t="s">
        <v>1827</v>
      </c>
      <c r="I179" s="5" t="s">
        <v>1869</v>
      </c>
      <c r="J179" s="5" t="s">
        <v>1678</v>
      </c>
      <c r="K179" s="5" t="s">
        <v>1679</v>
      </c>
      <c r="L179" s="5" t="s">
        <v>1680</v>
      </c>
      <c r="M179" s="5" t="s">
        <v>1681</v>
      </c>
      <c r="N179" s="5" t="s">
        <v>1682</v>
      </c>
      <c r="O179" s="5" t="s">
        <v>1680</v>
      </c>
      <c r="P179" s="6">
        <v>811</v>
      </c>
      <c r="Q179" s="6">
        <v>811</v>
      </c>
      <c r="R179" s="6">
        <v>0</v>
      </c>
      <c r="S179" s="6">
        <v>0</v>
      </c>
      <c r="T179" s="6">
        <v>0</v>
      </c>
    </row>
    <row r="180" spans="1:20">
      <c r="A180" s="5" t="s">
        <v>1672</v>
      </c>
      <c r="B180" s="5" t="s">
        <v>1673</v>
      </c>
      <c r="C180" s="5" t="s">
        <v>1715</v>
      </c>
      <c r="D180" s="5" t="s">
        <v>325</v>
      </c>
      <c r="E180" s="5" t="s">
        <v>1828</v>
      </c>
      <c r="F180" s="5" t="s">
        <v>1829</v>
      </c>
      <c r="G180" s="5" t="s">
        <v>1828</v>
      </c>
      <c r="H180" s="5" t="s">
        <v>1829</v>
      </c>
      <c r="I180" s="5" t="s">
        <v>1869</v>
      </c>
      <c r="J180" s="5" t="s">
        <v>1678</v>
      </c>
      <c r="K180" s="5" t="s">
        <v>1679</v>
      </c>
      <c r="L180" s="5" t="s">
        <v>1680</v>
      </c>
      <c r="M180" s="5" t="s">
        <v>1681</v>
      </c>
      <c r="N180" s="5" t="s">
        <v>1682</v>
      </c>
      <c r="O180" s="5" t="s">
        <v>1680</v>
      </c>
      <c r="P180" s="6">
        <v>811</v>
      </c>
      <c r="Q180" s="6">
        <v>811</v>
      </c>
      <c r="R180" s="6">
        <v>0</v>
      </c>
      <c r="S180" s="6">
        <v>0</v>
      </c>
      <c r="T180" s="6">
        <v>0</v>
      </c>
    </row>
    <row r="181" spans="1:20">
      <c r="A181" s="5" t="s">
        <v>1672</v>
      </c>
      <c r="B181" s="5" t="s">
        <v>1673</v>
      </c>
      <c r="C181" s="5" t="s">
        <v>1715</v>
      </c>
      <c r="D181" s="5" t="s">
        <v>325</v>
      </c>
      <c r="E181" s="5" t="s">
        <v>1830</v>
      </c>
      <c r="F181" s="5" t="s">
        <v>1831</v>
      </c>
      <c r="G181" s="5" t="s">
        <v>1830</v>
      </c>
      <c r="H181" s="5" t="s">
        <v>1831</v>
      </c>
      <c r="I181" s="5" t="s">
        <v>1869</v>
      </c>
      <c r="J181" s="5" t="s">
        <v>1678</v>
      </c>
      <c r="K181" s="5" t="s">
        <v>1679</v>
      </c>
      <c r="L181" s="5" t="s">
        <v>1680</v>
      </c>
      <c r="M181" s="5" t="s">
        <v>1681</v>
      </c>
      <c r="N181" s="5" t="s">
        <v>1682</v>
      </c>
      <c r="O181" s="5" t="s">
        <v>1680</v>
      </c>
      <c r="P181" s="6">
        <v>811</v>
      </c>
      <c r="Q181" s="6">
        <v>811</v>
      </c>
      <c r="R181" s="6">
        <v>0</v>
      </c>
      <c r="S181" s="6">
        <v>0</v>
      </c>
      <c r="T181" s="6">
        <v>0</v>
      </c>
    </row>
    <row r="182" spans="1:20">
      <c r="A182" s="5" t="s">
        <v>1672</v>
      </c>
      <c r="B182" s="5" t="s">
        <v>1673</v>
      </c>
      <c r="C182" s="5" t="s">
        <v>1715</v>
      </c>
      <c r="D182" s="5" t="s">
        <v>325</v>
      </c>
      <c r="E182" s="5" t="s">
        <v>1832</v>
      </c>
      <c r="F182" s="5" t="s">
        <v>1833</v>
      </c>
      <c r="G182" s="5" t="s">
        <v>1834</v>
      </c>
      <c r="H182" s="5" t="s">
        <v>1835</v>
      </c>
      <c r="I182" s="5" t="s">
        <v>1869</v>
      </c>
      <c r="J182" s="5" t="s">
        <v>1678</v>
      </c>
      <c r="K182" s="5" t="s">
        <v>1679</v>
      </c>
      <c r="L182" s="5" t="s">
        <v>1680</v>
      </c>
      <c r="M182" s="5" t="s">
        <v>1681</v>
      </c>
      <c r="N182" s="5" t="s">
        <v>1682</v>
      </c>
      <c r="O182" s="5" t="s">
        <v>1680</v>
      </c>
      <c r="P182" s="6">
        <v>811</v>
      </c>
      <c r="Q182" s="6">
        <v>811</v>
      </c>
      <c r="R182" s="6">
        <v>0</v>
      </c>
      <c r="S182" s="6">
        <v>0</v>
      </c>
      <c r="T182" s="6">
        <v>0</v>
      </c>
    </row>
    <row r="183" spans="1:20">
      <c r="A183" s="5" t="s">
        <v>1672</v>
      </c>
      <c r="B183" s="5" t="s">
        <v>1673</v>
      </c>
      <c r="C183" s="5" t="s">
        <v>1715</v>
      </c>
      <c r="D183" s="5" t="s">
        <v>325</v>
      </c>
      <c r="E183" s="5" t="s">
        <v>1836</v>
      </c>
      <c r="F183" s="5" t="s">
        <v>1837</v>
      </c>
      <c r="G183" s="5" t="s">
        <v>1836</v>
      </c>
      <c r="H183" s="5" t="s">
        <v>1837</v>
      </c>
      <c r="I183" s="5" t="s">
        <v>1869</v>
      </c>
      <c r="J183" s="5" t="s">
        <v>1678</v>
      </c>
      <c r="K183" s="5" t="s">
        <v>1679</v>
      </c>
      <c r="L183" s="5" t="s">
        <v>1680</v>
      </c>
      <c r="M183" s="5" t="s">
        <v>1681</v>
      </c>
      <c r="N183" s="5" t="s">
        <v>1682</v>
      </c>
      <c r="O183" s="5" t="s">
        <v>1680</v>
      </c>
      <c r="P183" s="6">
        <v>811</v>
      </c>
      <c r="Q183" s="6">
        <v>811</v>
      </c>
      <c r="R183" s="6">
        <v>0</v>
      </c>
      <c r="S183" s="6">
        <v>0</v>
      </c>
      <c r="T183" s="6">
        <v>0</v>
      </c>
    </row>
    <row r="184" spans="1:20">
      <c r="A184" s="5" t="s">
        <v>1672</v>
      </c>
      <c r="B184" s="5" t="s">
        <v>1673</v>
      </c>
      <c r="C184" s="5" t="s">
        <v>1715</v>
      </c>
      <c r="D184" s="5" t="s">
        <v>325</v>
      </c>
      <c r="E184" s="5" t="s">
        <v>1838</v>
      </c>
      <c r="F184" s="5" t="s">
        <v>1839</v>
      </c>
      <c r="G184" s="5" t="s">
        <v>1840</v>
      </c>
      <c r="H184" s="5" t="s">
        <v>1841</v>
      </c>
      <c r="I184" s="5" t="s">
        <v>1869</v>
      </c>
      <c r="J184" s="5" t="s">
        <v>1678</v>
      </c>
      <c r="K184" s="5" t="s">
        <v>1679</v>
      </c>
      <c r="L184" s="5" t="s">
        <v>1680</v>
      </c>
      <c r="M184" s="5" t="s">
        <v>1681</v>
      </c>
      <c r="N184" s="5" t="s">
        <v>1682</v>
      </c>
      <c r="O184" s="5" t="s">
        <v>1680</v>
      </c>
      <c r="P184" s="6">
        <v>811</v>
      </c>
      <c r="Q184" s="6">
        <v>811</v>
      </c>
      <c r="R184" s="6">
        <v>0</v>
      </c>
      <c r="S184" s="6">
        <v>0</v>
      </c>
      <c r="T184" s="6">
        <v>0</v>
      </c>
    </row>
    <row r="185" spans="1:20">
      <c r="A185" s="5" t="s">
        <v>1672</v>
      </c>
      <c r="B185" s="5" t="s">
        <v>1673</v>
      </c>
      <c r="C185" s="5" t="s">
        <v>1715</v>
      </c>
      <c r="D185" s="5" t="s">
        <v>325</v>
      </c>
      <c r="E185" s="5" t="s">
        <v>1716</v>
      </c>
      <c r="F185" s="5" t="s">
        <v>1717</v>
      </c>
      <c r="G185" s="5" t="s">
        <v>1716</v>
      </c>
      <c r="H185" s="5" t="s">
        <v>1717</v>
      </c>
      <c r="I185" s="5" t="s">
        <v>1870</v>
      </c>
      <c r="J185" s="5" t="s">
        <v>1678</v>
      </c>
      <c r="K185" s="5" t="s">
        <v>1679</v>
      </c>
      <c r="L185" s="5" t="s">
        <v>1680</v>
      </c>
      <c r="M185" s="5" t="s">
        <v>1681</v>
      </c>
      <c r="N185" s="5" t="s">
        <v>1682</v>
      </c>
      <c r="O185" s="5" t="s">
        <v>1680</v>
      </c>
      <c r="P185" s="6">
        <v>715</v>
      </c>
      <c r="Q185" s="6">
        <v>715</v>
      </c>
      <c r="R185" s="6">
        <v>0</v>
      </c>
      <c r="S185" s="6">
        <v>0</v>
      </c>
      <c r="T185" s="6">
        <v>0</v>
      </c>
    </row>
    <row r="186" spans="1:20">
      <c r="A186" s="5" t="s">
        <v>1672</v>
      </c>
      <c r="B186" s="5" t="s">
        <v>1673</v>
      </c>
      <c r="C186" s="5" t="s">
        <v>1715</v>
      </c>
      <c r="D186" s="5" t="s">
        <v>325</v>
      </c>
      <c r="E186" s="5" t="s">
        <v>1718</v>
      </c>
      <c r="F186" s="5" t="s">
        <v>1719</v>
      </c>
      <c r="G186" s="5" t="s">
        <v>1718</v>
      </c>
      <c r="H186" s="5" t="s">
        <v>1719</v>
      </c>
      <c r="I186" s="5" t="s">
        <v>1870</v>
      </c>
      <c r="J186" s="5" t="s">
        <v>1678</v>
      </c>
      <c r="K186" s="5" t="s">
        <v>1679</v>
      </c>
      <c r="L186" s="5" t="s">
        <v>1680</v>
      </c>
      <c r="M186" s="5" t="s">
        <v>1681</v>
      </c>
      <c r="N186" s="5" t="s">
        <v>1682</v>
      </c>
      <c r="O186" s="5" t="s">
        <v>1680</v>
      </c>
      <c r="P186" s="6">
        <v>715</v>
      </c>
      <c r="Q186" s="6">
        <v>715</v>
      </c>
      <c r="R186" s="6">
        <v>0</v>
      </c>
      <c r="S186" s="6">
        <v>0</v>
      </c>
      <c r="T186" s="6">
        <v>0</v>
      </c>
    </row>
    <row r="187" spans="1:20">
      <c r="A187" s="5" t="s">
        <v>1672</v>
      </c>
      <c r="B187" s="5" t="s">
        <v>1673</v>
      </c>
      <c r="C187" s="5" t="s">
        <v>1715</v>
      </c>
      <c r="D187" s="5" t="s">
        <v>325</v>
      </c>
      <c r="E187" s="5" t="s">
        <v>1720</v>
      </c>
      <c r="F187" s="5" t="s">
        <v>1721</v>
      </c>
      <c r="G187" s="5" t="s">
        <v>1720</v>
      </c>
      <c r="H187" s="5" t="s">
        <v>1721</v>
      </c>
      <c r="I187" s="5" t="s">
        <v>1870</v>
      </c>
      <c r="J187" s="5" t="s">
        <v>1678</v>
      </c>
      <c r="K187" s="5" t="s">
        <v>1679</v>
      </c>
      <c r="L187" s="5" t="s">
        <v>1680</v>
      </c>
      <c r="M187" s="5" t="s">
        <v>1681</v>
      </c>
      <c r="N187" s="5" t="s">
        <v>1682</v>
      </c>
      <c r="O187" s="5" t="s">
        <v>1680</v>
      </c>
      <c r="P187" s="6">
        <v>715</v>
      </c>
      <c r="Q187" s="6">
        <v>715</v>
      </c>
      <c r="R187" s="6">
        <v>0</v>
      </c>
      <c r="S187" s="6">
        <v>0</v>
      </c>
      <c r="T187" s="6">
        <v>0</v>
      </c>
    </row>
    <row r="188" spans="1:20">
      <c r="A188" s="5" t="s">
        <v>1672</v>
      </c>
      <c r="B188" s="5" t="s">
        <v>1673</v>
      </c>
      <c r="C188" s="5" t="s">
        <v>1715</v>
      </c>
      <c r="D188" s="5" t="s">
        <v>325</v>
      </c>
      <c r="E188" s="5" t="s">
        <v>1722</v>
      </c>
      <c r="F188" s="5" t="s">
        <v>1723</v>
      </c>
      <c r="G188" s="5" t="s">
        <v>1724</v>
      </c>
      <c r="H188" s="5" t="s">
        <v>1725</v>
      </c>
      <c r="I188" s="5" t="s">
        <v>1870</v>
      </c>
      <c r="J188" s="5" t="s">
        <v>1678</v>
      </c>
      <c r="K188" s="5" t="s">
        <v>1679</v>
      </c>
      <c r="L188" s="5" t="s">
        <v>1680</v>
      </c>
      <c r="M188" s="5" t="s">
        <v>1681</v>
      </c>
      <c r="N188" s="5" t="s">
        <v>1682</v>
      </c>
      <c r="O188" s="5" t="s">
        <v>1680</v>
      </c>
      <c r="P188" s="6">
        <v>715</v>
      </c>
      <c r="Q188" s="6">
        <v>715</v>
      </c>
      <c r="R188" s="6">
        <v>0</v>
      </c>
      <c r="S188" s="6">
        <v>0</v>
      </c>
      <c r="T188" s="6">
        <v>0</v>
      </c>
    </row>
    <row r="189" spans="1:20">
      <c r="A189" s="5" t="s">
        <v>1672</v>
      </c>
      <c r="B189" s="5" t="s">
        <v>1673</v>
      </c>
      <c r="C189" s="5" t="s">
        <v>1715</v>
      </c>
      <c r="D189" s="5" t="s">
        <v>325</v>
      </c>
      <c r="E189" s="5" t="s">
        <v>1726</v>
      </c>
      <c r="F189" s="5" t="s">
        <v>1727</v>
      </c>
      <c r="G189" s="5" t="s">
        <v>1726</v>
      </c>
      <c r="H189" s="5" t="s">
        <v>1727</v>
      </c>
      <c r="I189" s="5" t="s">
        <v>1870</v>
      </c>
      <c r="J189" s="5" t="s">
        <v>1678</v>
      </c>
      <c r="K189" s="5" t="s">
        <v>1679</v>
      </c>
      <c r="L189" s="5" t="s">
        <v>1680</v>
      </c>
      <c r="M189" s="5" t="s">
        <v>1681</v>
      </c>
      <c r="N189" s="5" t="s">
        <v>1682</v>
      </c>
      <c r="O189" s="5" t="s">
        <v>1680</v>
      </c>
      <c r="P189" s="6">
        <v>715</v>
      </c>
      <c r="Q189" s="6">
        <v>715</v>
      </c>
      <c r="R189" s="6">
        <v>0</v>
      </c>
      <c r="S189" s="6">
        <v>0</v>
      </c>
      <c r="T189" s="6">
        <v>0</v>
      </c>
    </row>
    <row r="190" spans="1:20">
      <c r="A190" s="5" t="s">
        <v>1672</v>
      </c>
      <c r="B190" s="5" t="s">
        <v>1673</v>
      </c>
      <c r="C190" s="5" t="s">
        <v>1715</v>
      </c>
      <c r="D190" s="5" t="s">
        <v>325</v>
      </c>
      <c r="E190" s="5" t="s">
        <v>1728</v>
      </c>
      <c r="F190" s="5" t="s">
        <v>1729</v>
      </c>
      <c r="G190" s="5" t="s">
        <v>1728</v>
      </c>
      <c r="H190" s="5" t="s">
        <v>1729</v>
      </c>
      <c r="I190" s="5" t="s">
        <v>1870</v>
      </c>
      <c r="J190" s="5" t="s">
        <v>1678</v>
      </c>
      <c r="K190" s="5" t="s">
        <v>1679</v>
      </c>
      <c r="L190" s="5" t="s">
        <v>1680</v>
      </c>
      <c r="M190" s="5" t="s">
        <v>1681</v>
      </c>
      <c r="N190" s="5" t="s">
        <v>1682</v>
      </c>
      <c r="O190" s="5" t="s">
        <v>1680</v>
      </c>
      <c r="P190" s="6">
        <v>715</v>
      </c>
      <c r="Q190" s="6">
        <v>715</v>
      </c>
      <c r="R190" s="6">
        <v>0</v>
      </c>
      <c r="S190" s="6">
        <v>0</v>
      </c>
      <c r="T190" s="6">
        <v>0</v>
      </c>
    </row>
    <row r="191" spans="1:20">
      <c r="A191" s="5" t="s">
        <v>1672</v>
      </c>
      <c r="B191" s="5" t="s">
        <v>1673</v>
      </c>
      <c r="C191" s="5" t="s">
        <v>1715</v>
      </c>
      <c r="D191" s="5" t="s">
        <v>325</v>
      </c>
      <c r="E191" s="5" t="s">
        <v>1730</v>
      </c>
      <c r="F191" s="5" t="s">
        <v>1731</v>
      </c>
      <c r="G191" s="5" t="s">
        <v>1730</v>
      </c>
      <c r="H191" s="5" t="s">
        <v>1731</v>
      </c>
      <c r="I191" s="5" t="s">
        <v>1870</v>
      </c>
      <c r="J191" s="5" t="s">
        <v>1678</v>
      </c>
      <c r="K191" s="5" t="s">
        <v>1679</v>
      </c>
      <c r="L191" s="5" t="s">
        <v>1680</v>
      </c>
      <c r="M191" s="5" t="s">
        <v>1681</v>
      </c>
      <c r="N191" s="5" t="s">
        <v>1682</v>
      </c>
      <c r="O191" s="5" t="s">
        <v>1680</v>
      </c>
      <c r="P191" s="6">
        <v>715</v>
      </c>
      <c r="Q191" s="6">
        <v>715</v>
      </c>
      <c r="R191" s="6">
        <v>0</v>
      </c>
      <c r="S191" s="6">
        <v>0</v>
      </c>
      <c r="T191" s="6">
        <v>0</v>
      </c>
    </row>
    <row r="192" spans="1:20">
      <c r="A192" s="5" t="s">
        <v>1672</v>
      </c>
      <c r="B192" s="5" t="s">
        <v>1673</v>
      </c>
      <c r="C192" s="5" t="s">
        <v>1715</v>
      </c>
      <c r="D192" s="5" t="s">
        <v>325</v>
      </c>
      <c r="E192" s="5" t="s">
        <v>1732</v>
      </c>
      <c r="F192" s="5" t="s">
        <v>1733</v>
      </c>
      <c r="G192" s="5" t="s">
        <v>1732</v>
      </c>
      <c r="H192" s="5" t="s">
        <v>1733</v>
      </c>
      <c r="I192" s="5" t="s">
        <v>1870</v>
      </c>
      <c r="J192" s="5" t="s">
        <v>1678</v>
      </c>
      <c r="K192" s="5" t="s">
        <v>1679</v>
      </c>
      <c r="L192" s="5" t="s">
        <v>1680</v>
      </c>
      <c r="M192" s="5" t="s">
        <v>1681</v>
      </c>
      <c r="N192" s="5" t="s">
        <v>1682</v>
      </c>
      <c r="O192" s="5" t="s">
        <v>1680</v>
      </c>
      <c r="P192" s="6">
        <v>715</v>
      </c>
      <c r="Q192" s="6">
        <v>715</v>
      </c>
      <c r="R192" s="6">
        <v>0</v>
      </c>
      <c r="S192" s="6">
        <v>0</v>
      </c>
      <c r="T192" s="6">
        <v>0</v>
      </c>
    </row>
    <row r="193" spans="1:20">
      <c r="A193" s="5" t="s">
        <v>1672</v>
      </c>
      <c r="B193" s="5" t="s">
        <v>1673</v>
      </c>
      <c r="C193" s="5" t="s">
        <v>1715</v>
      </c>
      <c r="D193" s="5" t="s">
        <v>325</v>
      </c>
      <c r="E193" s="5" t="s">
        <v>1734</v>
      </c>
      <c r="F193" s="5" t="s">
        <v>1735</v>
      </c>
      <c r="G193" s="5" t="s">
        <v>1734</v>
      </c>
      <c r="H193" s="5" t="s">
        <v>1735</v>
      </c>
      <c r="I193" s="5" t="s">
        <v>1870</v>
      </c>
      <c r="J193" s="5" t="s">
        <v>1678</v>
      </c>
      <c r="K193" s="5" t="s">
        <v>1679</v>
      </c>
      <c r="L193" s="5" t="s">
        <v>1680</v>
      </c>
      <c r="M193" s="5" t="s">
        <v>1681</v>
      </c>
      <c r="N193" s="5" t="s">
        <v>1682</v>
      </c>
      <c r="O193" s="5" t="s">
        <v>1680</v>
      </c>
      <c r="P193" s="6">
        <v>715</v>
      </c>
      <c r="Q193" s="6">
        <v>715</v>
      </c>
      <c r="R193" s="6">
        <v>0</v>
      </c>
      <c r="S193" s="6">
        <v>0</v>
      </c>
      <c r="T193" s="6">
        <v>0</v>
      </c>
    </row>
    <row r="194" spans="1:20">
      <c r="A194" s="5" t="s">
        <v>1672</v>
      </c>
      <c r="B194" s="5" t="s">
        <v>1673</v>
      </c>
      <c r="C194" s="5" t="s">
        <v>1715</v>
      </c>
      <c r="D194" s="5" t="s">
        <v>325</v>
      </c>
      <c r="E194" s="5" t="s">
        <v>1736</v>
      </c>
      <c r="F194" s="5" t="s">
        <v>1737</v>
      </c>
      <c r="G194" s="5" t="s">
        <v>1738</v>
      </c>
      <c r="H194" s="5" t="s">
        <v>1739</v>
      </c>
      <c r="I194" s="5" t="s">
        <v>1870</v>
      </c>
      <c r="J194" s="5" t="s">
        <v>1678</v>
      </c>
      <c r="K194" s="5" t="s">
        <v>1679</v>
      </c>
      <c r="L194" s="5" t="s">
        <v>1680</v>
      </c>
      <c r="M194" s="5" t="s">
        <v>1681</v>
      </c>
      <c r="N194" s="5" t="s">
        <v>1682</v>
      </c>
      <c r="O194" s="5" t="s">
        <v>1680</v>
      </c>
      <c r="P194" s="6">
        <v>715</v>
      </c>
      <c r="Q194" s="6">
        <v>715</v>
      </c>
      <c r="R194" s="6">
        <v>0</v>
      </c>
      <c r="S194" s="6">
        <v>0</v>
      </c>
      <c r="T194" s="6">
        <v>0</v>
      </c>
    </row>
    <row r="195" spans="1:20">
      <c r="A195" s="5" t="s">
        <v>1672</v>
      </c>
      <c r="B195" s="5" t="s">
        <v>1673</v>
      </c>
      <c r="C195" s="5" t="s">
        <v>1715</v>
      </c>
      <c r="D195" s="5" t="s">
        <v>325</v>
      </c>
      <c r="E195" s="5" t="s">
        <v>1740</v>
      </c>
      <c r="F195" s="5" t="s">
        <v>1741</v>
      </c>
      <c r="G195" s="5" t="s">
        <v>1740</v>
      </c>
      <c r="H195" s="5" t="s">
        <v>1741</v>
      </c>
      <c r="I195" s="5" t="s">
        <v>1870</v>
      </c>
      <c r="J195" s="5" t="s">
        <v>1678</v>
      </c>
      <c r="K195" s="5" t="s">
        <v>1679</v>
      </c>
      <c r="L195" s="5" t="s">
        <v>1680</v>
      </c>
      <c r="M195" s="5" t="s">
        <v>1681</v>
      </c>
      <c r="N195" s="5" t="s">
        <v>1682</v>
      </c>
      <c r="O195" s="5" t="s">
        <v>1680</v>
      </c>
      <c r="P195" s="6">
        <v>715</v>
      </c>
      <c r="Q195" s="6">
        <v>715</v>
      </c>
      <c r="R195" s="6">
        <v>0</v>
      </c>
      <c r="S195" s="6">
        <v>0</v>
      </c>
      <c r="T195" s="6">
        <v>0</v>
      </c>
    </row>
    <row r="196" spans="1:20">
      <c r="A196" s="5" t="s">
        <v>1672</v>
      </c>
      <c r="B196" s="5" t="s">
        <v>1673</v>
      </c>
      <c r="C196" s="5" t="s">
        <v>1715</v>
      </c>
      <c r="D196" s="5" t="s">
        <v>325</v>
      </c>
      <c r="E196" s="5" t="s">
        <v>1742</v>
      </c>
      <c r="F196" s="5" t="s">
        <v>1743</v>
      </c>
      <c r="G196" s="5" t="s">
        <v>1744</v>
      </c>
      <c r="H196" s="5" t="s">
        <v>1745</v>
      </c>
      <c r="I196" s="5" t="s">
        <v>1870</v>
      </c>
      <c r="J196" s="5" t="s">
        <v>1678</v>
      </c>
      <c r="K196" s="5" t="s">
        <v>1679</v>
      </c>
      <c r="L196" s="5" t="s">
        <v>1680</v>
      </c>
      <c r="M196" s="5" t="s">
        <v>1681</v>
      </c>
      <c r="N196" s="5" t="s">
        <v>1682</v>
      </c>
      <c r="O196" s="5" t="s">
        <v>1680</v>
      </c>
      <c r="P196" s="6">
        <v>715</v>
      </c>
      <c r="Q196" s="6">
        <v>715</v>
      </c>
      <c r="R196" s="6">
        <v>0</v>
      </c>
      <c r="S196" s="6">
        <v>0</v>
      </c>
      <c r="T196" s="6">
        <v>0</v>
      </c>
    </row>
    <row r="197" spans="1:20">
      <c r="A197" s="5" t="s">
        <v>1672</v>
      </c>
      <c r="B197" s="5" t="s">
        <v>1673</v>
      </c>
      <c r="C197" s="5" t="s">
        <v>1715</v>
      </c>
      <c r="D197" s="5" t="s">
        <v>325</v>
      </c>
      <c r="E197" s="5" t="s">
        <v>1746</v>
      </c>
      <c r="F197" s="5" t="s">
        <v>1747</v>
      </c>
      <c r="G197" s="5" t="s">
        <v>1748</v>
      </c>
      <c r="H197" s="5" t="s">
        <v>1749</v>
      </c>
      <c r="I197" s="5" t="s">
        <v>1870</v>
      </c>
      <c r="J197" s="5" t="s">
        <v>1678</v>
      </c>
      <c r="K197" s="5" t="s">
        <v>1679</v>
      </c>
      <c r="L197" s="5" t="s">
        <v>1680</v>
      </c>
      <c r="M197" s="5" t="s">
        <v>1681</v>
      </c>
      <c r="N197" s="5" t="s">
        <v>1682</v>
      </c>
      <c r="O197" s="5" t="s">
        <v>1680</v>
      </c>
      <c r="P197" s="6">
        <v>715</v>
      </c>
      <c r="Q197" s="6">
        <v>715</v>
      </c>
      <c r="R197" s="6">
        <v>0</v>
      </c>
      <c r="S197" s="6">
        <v>0</v>
      </c>
      <c r="T197" s="6">
        <v>0</v>
      </c>
    </row>
    <row r="198" spans="1:20">
      <c r="A198" s="5" t="s">
        <v>1672</v>
      </c>
      <c r="B198" s="5" t="s">
        <v>1673</v>
      </c>
      <c r="C198" s="5" t="s">
        <v>1715</v>
      </c>
      <c r="D198" s="5" t="s">
        <v>325</v>
      </c>
      <c r="E198" s="5" t="s">
        <v>1750</v>
      </c>
      <c r="F198" s="5" t="s">
        <v>1751</v>
      </c>
      <c r="G198" s="5" t="s">
        <v>1752</v>
      </c>
      <c r="H198" s="5" t="s">
        <v>1753</v>
      </c>
      <c r="I198" s="5" t="s">
        <v>1870</v>
      </c>
      <c r="J198" s="5" t="s">
        <v>1678</v>
      </c>
      <c r="K198" s="5" t="s">
        <v>1679</v>
      </c>
      <c r="L198" s="5" t="s">
        <v>1680</v>
      </c>
      <c r="M198" s="5" t="s">
        <v>1681</v>
      </c>
      <c r="N198" s="5" t="s">
        <v>1682</v>
      </c>
      <c r="O198" s="5" t="s">
        <v>1680</v>
      </c>
      <c r="P198" s="6">
        <v>715</v>
      </c>
      <c r="Q198" s="6">
        <v>715</v>
      </c>
      <c r="R198" s="6">
        <v>0</v>
      </c>
      <c r="S198" s="6">
        <v>0</v>
      </c>
      <c r="T198" s="6">
        <v>0</v>
      </c>
    </row>
    <row r="199" spans="1:20">
      <c r="A199" s="5" t="s">
        <v>1672</v>
      </c>
      <c r="B199" s="5" t="s">
        <v>1673</v>
      </c>
      <c r="C199" s="5" t="s">
        <v>1715</v>
      </c>
      <c r="D199" s="5" t="s">
        <v>325</v>
      </c>
      <c r="E199" s="5" t="s">
        <v>1754</v>
      </c>
      <c r="F199" s="5" t="s">
        <v>1755</v>
      </c>
      <c r="G199" s="5" t="s">
        <v>1756</v>
      </c>
      <c r="H199" s="5" t="s">
        <v>1757</v>
      </c>
      <c r="I199" s="5" t="s">
        <v>1870</v>
      </c>
      <c r="J199" s="5" t="s">
        <v>1678</v>
      </c>
      <c r="K199" s="5" t="s">
        <v>1679</v>
      </c>
      <c r="L199" s="5" t="s">
        <v>1680</v>
      </c>
      <c r="M199" s="5" t="s">
        <v>1681</v>
      </c>
      <c r="N199" s="5" t="s">
        <v>1682</v>
      </c>
      <c r="O199" s="5" t="s">
        <v>1680</v>
      </c>
      <c r="P199" s="6">
        <v>715</v>
      </c>
      <c r="Q199" s="6">
        <v>715</v>
      </c>
      <c r="R199" s="6">
        <v>0</v>
      </c>
      <c r="S199" s="6">
        <v>0</v>
      </c>
      <c r="T199" s="6">
        <v>0</v>
      </c>
    </row>
    <row r="200" spans="1:20">
      <c r="A200" s="5" t="s">
        <v>1672</v>
      </c>
      <c r="B200" s="5" t="s">
        <v>1673</v>
      </c>
      <c r="C200" s="5" t="s">
        <v>1715</v>
      </c>
      <c r="D200" s="5" t="s">
        <v>325</v>
      </c>
      <c r="E200" s="5" t="s">
        <v>1758</v>
      </c>
      <c r="F200" s="5" t="s">
        <v>1759</v>
      </c>
      <c r="G200" s="5" t="s">
        <v>1758</v>
      </c>
      <c r="H200" s="5" t="s">
        <v>1759</v>
      </c>
      <c r="I200" s="5" t="s">
        <v>1870</v>
      </c>
      <c r="J200" s="5" t="s">
        <v>1678</v>
      </c>
      <c r="K200" s="5" t="s">
        <v>1679</v>
      </c>
      <c r="L200" s="5" t="s">
        <v>1680</v>
      </c>
      <c r="M200" s="5" t="s">
        <v>1681</v>
      </c>
      <c r="N200" s="5" t="s">
        <v>1682</v>
      </c>
      <c r="O200" s="5" t="s">
        <v>1680</v>
      </c>
      <c r="P200" s="6">
        <v>715</v>
      </c>
      <c r="Q200" s="6">
        <v>715</v>
      </c>
      <c r="R200" s="6">
        <v>0</v>
      </c>
      <c r="S200" s="6">
        <v>0</v>
      </c>
      <c r="T200" s="6">
        <v>0</v>
      </c>
    </row>
    <row r="201" spans="1:20">
      <c r="A201" s="5" t="s">
        <v>1672</v>
      </c>
      <c r="B201" s="5" t="s">
        <v>1673</v>
      </c>
      <c r="C201" s="5" t="s">
        <v>1715</v>
      </c>
      <c r="D201" s="5" t="s">
        <v>325</v>
      </c>
      <c r="E201" s="5" t="s">
        <v>1760</v>
      </c>
      <c r="F201" s="5" t="s">
        <v>1761</v>
      </c>
      <c r="G201" s="5" t="s">
        <v>1760</v>
      </c>
      <c r="H201" s="5" t="s">
        <v>1761</v>
      </c>
      <c r="I201" s="5" t="s">
        <v>1870</v>
      </c>
      <c r="J201" s="5" t="s">
        <v>1678</v>
      </c>
      <c r="K201" s="5" t="s">
        <v>1679</v>
      </c>
      <c r="L201" s="5" t="s">
        <v>1680</v>
      </c>
      <c r="M201" s="5" t="s">
        <v>1681</v>
      </c>
      <c r="N201" s="5" t="s">
        <v>1682</v>
      </c>
      <c r="O201" s="5" t="s">
        <v>1680</v>
      </c>
      <c r="P201" s="6">
        <v>715</v>
      </c>
      <c r="Q201" s="6">
        <v>715</v>
      </c>
      <c r="R201" s="6">
        <v>0</v>
      </c>
      <c r="S201" s="6">
        <v>0</v>
      </c>
      <c r="T201" s="6">
        <v>0</v>
      </c>
    </row>
    <row r="202" spans="1:20">
      <c r="A202" s="5" t="s">
        <v>1672</v>
      </c>
      <c r="B202" s="5" t="s">
        <v>1673</v>
      </c>
      <c r="C202" s="5" t="s">
        <v>1715</v>
      </c>
      <c r="D202" s="5" t="s">
        <v>325</v>
      </c>
      <c r="E202" s="5" t="s">
        <v>1762</v>
      </c>
      <c r="F202" s="5" t="s">
        <v>1763</v>
      </c>
      <c r="G202" s="5" t="s">
        <v>1764</v>
      </c>
      <c r="H202" s="5" t="s">
        <v>1765</v>
      </c>
      <c r="I202" s="5" t="s">
        <v>1870</v>
      </c>
      <c r="J202" s="5" t="s">
        <v>1678</v>
      </c>
      <c r="K202" s="5" t="s">
        <v>1679</v>
      </c>
      <c r="L202" s="5" t="s">
        <v>1680</v>
      </c>
      <c r="M202" s="5" t="s">
        <v>1681</v>
      </c>
      <c r="N202" s="5" t="s">
        <v>1682</v>
      </c>
      <c r="O202" s="5" t="s">
        <v>1680</v>
      </c>
      <c r="P202" s="6">
        <v>715</v>
      </c>
      <c r="Q202" s="6">
        <v>715</v>
      </c>
      <c r="R202" s="6">
        <v>0</v>
      </c>
      <c r="S202" s="6">
        <v>0</v>
      </c>
      <c r="T202" s="6">
        <v>0</v>
      </c>
    </row>
    <row r="203" spans="1:20">
      <c r="A203" s="5" t="s">
        <v>1672</v>
      </c>
      <c r="B203" s="5" t="s">
        <v>1673</v>
      </c>
      <c r="C203" s="5" t="s">
        <v>1715</v>
      </c>
      <c r="D203" s="5" t="s">
        <v>325</v>
      </c>
      <c r="E203" s="5" t="s">
        <v>1766</v>
      </c>
      <c r="F203" s="5" t="s">
        <v>1767</v>
      </c>
      <c r="G203" s="5" t="s">
        <v>1766</v>
      </c>
      <c r="H203" s="5" t="s">
        <v>1767</v>
      </c>
      <c r="I203" s="5" t="s">
        <v>1870</v>
      </c>
      <c r="J203" s="5" t="s">
        <v>1678</v>
      </c>
      <c r="K203" s="5" t="s">
        <v>1679</v>
      </c>
      <c r="L203" s="5" t="s">
        <v>1680</v>
      </c>
      <c r="M203" s="5" t="s">
        <v>1681</v>
      </c>
      <c r="N203" s="5" t="s">
        <v>1682</v>
      </c>
      <c r="O203" s="5" t="s">
        <v>1680</v>
      </c>
      <c r="P203" s="6">
        <v>715</v>
      </c>
      <c r="Q203" s="6">
        <v>715</v>
      </c>
      <c r="R203" s="6">
        <v>0</v>
      </c>
      <c r="S203" s="6">
        <v>0</v>
      </c>
      <c r="T203" s="6">
        <v>0</v>
      </c>
    </row>
    <row r="204" spans="1:20">
      <c r="A204" s="5" t="s">
        <v>1672</v>
      </c>
      <c r="B204" s="5" t="s">
        <v>1673</v>
      </c>
      <c r="C204" s="5" t="s">
        <v>1715</v>
      </c>
      <c r="D204" s="5" t="s">
        <v>325</v>
      </c>
      <c r="E204" s="5" t="s">
        <v>1768</v>
      </c>
      <c r="F204" s="5" t="s">
        <v>1769</v>
      </c>
      <c r="G204" s="5" t="s">
        <v>1770</v>
      </c>
      <c r="H204" s="5" t="s">
        <v>1771</v>
      </c>
      <c r="I204" s="5" t="s">
        <v>1870</v>
      </c>
      <c r="J204" s="5" t="s">
        <v>1678</v>
      </c>
      <c r="K204" s="5" t="s">
        <v>1679</v>
      </c>
      <c r="L204" s="5" t="s">
        <v>1680</v>
      </c>
      <c r="M204" s="5" t="s">
        <v>1681</v>
      </c>
      <c r="N204" s="5" t="s">
        <v>1682</v>
      </c>
      <c r="O204" s="5" t="s">
        <v>1680</v>
      </c>
      <c r="P204" s="6">
        <v>715</v>
      </c>
      <c r="Q204" s="6">
        <v>715</v>
      </c>
      <c r="R204" s="6">
        <v>0</v>
      </c>
      <c r="S204" s="6">
        <v>0</v>
      </c>
      <c r="T204" s="6">
        <v>0</v>
      </c>
    </row>
    <row r="205" spans="1:20">
      <c r="A205" s="5" t="s">
        <v>1672</v>
      </c>
      <c r="B205" s="5" t="s">
        <v>1673</v>
      </c>
      <c r="C205" s="5" t="s">
        <v>1715</v>
      </c>
      <c r="D205" s="5" t="s">
        <v>325</v>
      </c>
      <c r="E205" s="5" t="s">
        <v>1772</v>
      </c>
      <c r="F205" s="5" t="s">
        <v>1773</v>
      </c>
      <c r="G205" s="5" t="s">
        <v>1774</v>
      </c>
      <c r="H205" s="5" t="s">
        <v>1775</v>
      </c>
      <c r="I205" s="5" t="s">
        <v>1870</v>
      </c>
      <c r="J205" s="5" t="s">
        <v>1678</v>
      </c>
      <c r="K205" s="5" t="s">
        <v>1679</v>
      </c>
      <c r="L205" s="5" t="s">
        <v>1680</v>
      </c>
      <c r="M205" s="5" t="s">
        <v>1681</v>
      </c>
      <c r="N205" s="5" t="s">
        <v>1682</v>
      </c>
      <c r="O205" s="5" t="s">
        <v>1680</v>
      </c>
      <c r="P205" s="6">
        <v>715</v>
      </c>
      <c r="Q205" s="6">
        <v>715</v>
      </c>
      <c r="R205" s="6">
        <v>0</v>
      </c>
      <c r="S205" s="6">
        <v>0</v>
      </c>
      <c r="T205" s="6">
        <v>0</v>
      </c>
    </row>
    <row r="206" spans="1:20">
      <c r="A206" s="5" t="s">
        <v>1672</v>
      </c>
      <c r="B206" s="5" t="s">
        <v>1673</v>
      </c>
      <c r="C206" s="5" t="s">
        <v>1715</v>
      </c>
      <c r="D206" s="5" t="s">
        <v>325</v>
      </c>
      <c r="E206" s="5" t="s">
        <v>1776</v>
      </c>
      <c r="F206" s="5" t="s">
        <v>1777</v>
      </c>
      <c r="G206" s="5" t="s">
        <v>1778</v>
      </c>
      <c r="H206" s="5" t="s">
        <v>1779</v>
      </c>
      <c r="I206" s="5" t="s">
        <v>1870</v>
      </c>
      <c r="J206" s="5" t="s">
        <v>1678</v>
      </c>
      <c r="K206" s="5" t="s">
        <v>1679</v>
      </c>
      <c r="L206" s="5" t="s">
        <v>1680</v>
      </c>
      <c r="M206" s="5" t="s">
        <v>1681</v>
      </c>
      <c r="N206" s="5" t="s">
        <v>1682</v>
      </c>
      <c r="O206" s="5" t="s">
        <v>1680</v>
      </c>
      <c r="P206" s="6">
        <v>715</v>
      </c>
      <c r="Q206" s="6">
        <v>715</v>
      </c>
      <c r="R206" s="6">
        <v>0</v>
      </c>
      <c r="S206" s="6">
        <v>0</v>
      </c>
      <c r="T206" s="6">
        <v>0</v>
      </c>
    </row>
    <row r="207" spans="1:20">
      <c r="A207" s="5" t="s">
        <v>1672</v>
      </c>
      <c r="B207" s="5" t="s">
        <v>1673</v>
      </c>
      <c r="C207" s="5" t="s">
        <v>1715</v>
      </c>
      <c r="D207" s="5" t="s">
        <v>325</v>
      </c>
      <c r="E207" s="5" t="s">
        <v>1780</v>
      </c>
      <c r="F207" s="5" t="s">
        <v>1781</v>
      </c>
      <c r="G207" s="5" t="s">
        <v>1780</v>
      </c>
      <c r="H207" s="5" t="s">
        <v>1781</v>
      </c>
      <c r="I207" s="5" t="s">
        <v>1870</v>
      </c>
      <c r="J207" s="5" t="s">
        <v>1678</v>
      </c>
      <c r="K207" s="5" t="s">
        <v>1679</v>
      </c>
      <c r="L207" s="5" t="s">
        <v>1680</v>
      </c>
      <c r="M207" s="5" t="s">
        <v>1681</v>
      </c>
      <c r="N207" s="5" t="s">
        <v>1682</v>
      </c>
      <c r="O207" s="5" t="s">
        <v>1680</v>
      </c>
      <c r="P207" s="6">
        <v>715</v>
      </c>
      <c r="Q207" s="6">
        <v>715</v>
      </c>
      <c r="R207" s="6">
        <v>0</v>
      </c>
      <c r="S207" s="6">
        <v>0</v>
      </c>
      <c r="T207" s="6">
        <v>0</v>
      </c>
    </row>
    <row r="208" spans="1:20">
      <c r="A208" s="5" t="s">
        <v>1672</v>
      </c>
      <c r="B208" s="5" t="s">
        <v>1673</v>
      </c>
      <c r="C208" s="5" t="s">
        <v>1715</v>
      </c>
      <c r="D208" s="5" t="s">
        <v>325</v>
      </c>
      <c r="E208" s="5" t="s">
        <v>1782</v>
      </c>
      <c r="F208" s="5" t="s">
        <v>1783</v>
      </c>
      <c r="G208" s="5" t="s">
        <v>1782</v>
      </c>
      <c r="H208" s="5" t="s">
        <v>1783</v>
      </c>
      <c r="I208" s="5" t="s">
        <v>1870</v>
      </c>
      <c r="J208" s="5" t="s">
        <v>1678</v>
      </c>
      <c r="K208" s="5" t="s">
        <v>1679</v>
      </c>
      <c r="L208" s="5" t="s">
        <v>1680</v>
      </c>
      <c r="M208" s="5" t="s">
        <v>1681</v>
      </c>
      <c r="N208" s="5" t="s">
        <v>1682</v>
      </c>
      <c r="O208" s="5" t="s">
        <v>1680</v>
      </c>
      <c r="P208" s="6">
        <v>715</v>
      </c>
      <c r="Q208" s="6">
        <v>715</v>
      </c>
      <c r="R208" s="6">
        <v>0</v>
      </c>
      <c r="S208" s="6">
        <v>0</v>
      </c>
      <c r="T208" s="6">
        <v>0</v>
      </c>
    </row>
    <row r="209" spans="1:20">
      <c r="A209" s="5" t="s">
        <v>1672</v>
      </c>
      <c r="B209" s="5" t="s">
        <v>1673</v>
      </c>
      <c r="C209" s="5" t="s">
        <v>1715</v>
      </c>
      <c r="D209" s="5" t="s">
        <v>325</v>
      </c>
      <c r="E209" s="5" t="s">
        <v>1784</v>
      </c>
      <c r="F209" s="5" t="s">
        <v>1785</v>
      </c>
      <c r="G209" s="5" t="s">
        <v>1786</v>
      </c>
      <c r="H209" s="5" t="s">
        <v>1787</v>
      </c>
      <c r="I209" s="5" t="s">
        <v>1870</v>
      </c>
      <c r="J209" s="5" t="s">
        <v>1678</v>
      </c>
      <c r="K209" s="5" t="s">
        <v>1679</v>
      </c>
      <c r="L209" s="5" t="s">
        <v>1680</v>
      </c>
      <c r="M209" s="5" t="s">
        <v>1681</v>
      </c>
      <c r="N209" s="5" t="s">
        <v>1682</v>
      </c>
      <c r="O209" s="5" t="s">
        <v>1680</v>
      </c>
      <c r="P209" s="6">
        <v>715</v>
      </c>
      <c r="Q209" s="6">
        <v>715</v>
      </c>
      <c r="R209" s="6">
        <v>0</v>
      </c>
      <c r="S209" s="6">
        <v>0</v>
      </c>
      <c r="T209" s="6">
        <v>0</v>
      </c>
    </row>
    <row r="210" spans="1:20">
      <c r="A210" s="5" t="s">
        <v>1672</v>
      </c>
      <c r="B210" s="5" t="s">
        <v>1673</v>
      </c>
      <c r="C210" s="5" t="s">
        <v>1715</v>
      </c>
      <c r="D210" s="5" t="s">
        <v>325</v>
      </c>
      <c r="E210" s="5" t="s">
        <v>1788</v>
      </c>
      <c r="F210" s="5" t="s">
        <v>1789</v>
      </c>
      <c r="G210" s="5" t="s">
        <v>1790</v>
      </c>
      <c r="H210" s="5" t="s">
        <v>1791</v>
      </c>
      <c r="I210" s="5" t="s">
        <v>1870</v>
      </c>
      <c r="J210" s="5" t="s">
        <v>1678</v>
      </c>
      <c r="K210" s="5" t="s">
        <v>1679</v>
      </c>
      <c r="L210" s="5" t="s">
        <v>1680</v>
      </c>
      <c r="M210" s="5" t="s">
        <v>1681</v>
      </c>
      <c r="N210" s="5" t="s">
        <v>1682</v>
      </c>
      <c r="O210" s="5" t="s">
        <v>1680</v>
      </c>
      <c r="P210" s="6">
        <v>715</v>
      </c>
      <c r="Q210" s="6">
        <v>715</v>
      </c>
      <c r="R210" s="6">
        <v>0</v>
      </c>
      <c r="S210" s="6">
        <v>0</v>
      </c>
      <c r="T210" s="6">
        <v>0</v>
      </c>
    </row>
    <row r="211" spans="1:20">
      <c r="A211" s="5" t="s">
        <v>1672</v>
      </c>
      <c r="B211" s="5" t="s">
        <v>1673</v>
      </c>
      <c r="C211" s="5" t="s">
        <v>1715</v>
      </c>
      <c r="D211" s="5" t="s">
        <v>325</v>
      </c>
      <c r="E211" s="5" t="s">
        <v>1792</v>
      </c>
      <c r="F211" s="5" t="s">
        <v>1793</v>
      </c>
      <c r="G211" s="5" t="s">
        <v>1794</v>
      </c>
      <c r="H211" s="5" t="s">
        <v>1795</v>
      </c>
      <c r="I211" s="5" t="s">
        <v>1870</v>
      </c>
      <c r="J211" s="5" t="s">
        <v>1678</v>
      </c>
      <c r="K211" s="5" t="s">
        <v>1679</v>
      </c>
      <c r="L211" s="5" t="s">
        <v>1680</v>
      </c>
      <c r="M211" s="5" t="s">
        <v>1681</v>
      </c>
      <c r="N211" s="5" t="s">
        <v>1682</v>
      </c>
      <c r="O211" s="5" t="s">
        <v>1680</v>
      </c>
      <c r="P211" s="6">
        <v>715</v>
      </c>
      <c r="Q211" s="6">
        <v>715</v>
      </c>
      <c r="R211" s="6">
        <v>0</v>
      </c>
      <c r="S211" s="6">
        <v>0</v>
      </c>
      <c r="T211" s="6">
        <v>0</v>
      </c>
    </row>
    <row r="212" spans="1:20">
      <c r="A212" s="5" t="s">
        <v>1672</v>
      </c>
      <c r="B212" s="5" t="s">
        <v>1673</v>
      </c>
      <c r="C212" s="5" t="s">
        <v>1715</v>
      </c>
      <c r="D212" s="5" t="s">
        <v>325</v>
      </c>
      <c r="E212" s="5" t="s">
        <v>1796</v>
      </c>
      <c r="F212" s="5" t="s">
        <v>1797</v>
      </c>
      <c r="G212" s="5" t="s">
        <v>1796</v>
      </c>
      <c r="H212" s="5" t="s">
        <v>1797</v>
      </c>
      <c r="I212" s="5" t="s">
        <v>1870</v>
      </c>
      <c r="J212" s="5" t="s">
        <v>1678</v>
      </c>
      <c r="K212" s="5" t="s">
        <v>1679</v>
      </c>
      <c r="L212" s="5" t="s">
        <v>1680</v>
      </c>
      <c r="M212" s="5" t="s">
        <v>1681</v>
      </c>
      <c r="N212" s="5" t="s">
        <v>1682</v>
      </c>
      <c r="O212" s="5" t="s">
        <v>1680</v>
      </c>
      <c r="P212" s="6">
        <v>715</v>
      </c>
      <c r="Q212" s="6">
        <v>715</v>
      </c>
      <c r="R212" s="6">
        <v>0</v>
      </c>
      <c r="S212" s="6">
        <v>0</v>
      </c>
      <c r="T212" s="6">
        <v>0</v>
      </c>
    </row>
    <row r="213" spans="1:20">
      <c r="A213" s="5" t="s">
        <v>1672</v>
      </c>
      <c r="B213" s="5" t="s">
        <v>1673</v>
      </c>
      <c r="C213" s="5" t="s">
        <v>1715</v>
      </c>
      <c r="D213" s="5" t="s">
        <v>325</v>
      </c>
      <c r="E213" s="5" t="s">
        <v>1798</v>
      </c>
      <c r="F213" s="5" t="s">
        <v>1799</v>
      </c>
      <c r="G213" s="5" t="s">
        <v>1798</v>
      </c>
      <c r="H213" s="5" t="s">
        <v>1799</v>
      </c>
      <c r="I213" s="5" t="s">
        <v>1870</v>
      </c>
      <c r="J213" s="5" t="s">
        <v>1678</v>
      </c>
      <c r="K213" s="5" t="s">
        <v>1679</v>
      </c>
      <c r="L213" s="5" t="s">
        <v>1680</v>
      </c>
      <c r="M213" s="5" t="s">
        <v>1681</v>
      </c>
      <c r="N213" s="5" t="s">
        <v>1682</v>
      </c>
      <c r="O213" s="5" t="s">
        <v>1680</v>
      </c>
      <c r="P213" s="6">
        <v>715</v>
      </c>
      <c r="Q213" s="6">
        <v>715</v>
      </c>
      <c r="R213" s="6">
        <v>0</v>
      </c>
      <c r="S213" s="6">
        <v>0</v>
      </c>
      <c r="T213" s="6">
        <v>0</v>
      </c>
    </row>
    <row r="214" spans="1:20">
      <c r="A214" s="5" t="s">
        <v>1672</v>
      </c>
      <c r="B214" s="5" t="s">
        <v>1673</v>
      </c>
      <c r="C214" s="5" t="s">
        <v>1715</v>
      </c>
      <c r="D214" s="5" t="s">
        <v>325</v>
      </c>
      <c r="E214" s="5" t="s">
        <v>1800</v>
      </c>
      <c r="F214" s="5" t="s">
        <v>1801</v>
      </c>
      <c r="G214" s="5" t="s">
        <v>1800</v>
      </c>
      <c r="H214" s="5" t="s">
        <v>1801</v>
      </c>
      <c r="I214" s="5" t="s">
        <v>1870</v>
      </c>
      <c r="J214" s="5" t="s">
        <v>1678</v>
      </c>
      <c r="K214" s="5" t="s">
        <v>1679</v>
      </c>
      <c r="L214" s="5" t="s">
        <v>1680</v>
      </c>
      <c r="M214" s="5" t="s">
        <v>1681</v>
      </c>
      <c r="N214" s="5" t="s">
        <v>1682</v>
      </c>
      <c r="O214" s="5" t="s">
        <v>1680</v>
      </c>
      <c r="P214" s="6">
        <v>715</v>
      </c>
      <c r="Q214" s="6">
        <v>715</v>
      </c>
      <c r="R214" s="6">
        <v>0</v>
      </c>
      <c r="S214" s="6">
        <v>0</v>
      </c>
      <c r="T214" s="6">
        <v>0</v>
      </c>
    </row>
    <row r="215" spans="1:20">
      <c r="A215" s="5" t="s">
        <v>1672</v>
      </c>
      <c r="B215" s="5" t="s">
        <v>1673</v>
      </c>
      <c r="C215" s="5" t="s">
        <v>1715</v>
      </c>
      <c r="D215" s="5" t="s">
        <v>325</v>
      </c>
      <c r="E215" s="5" t="s">
        <v>1802</v>
      </c>
      <c r="F215" s="5" t="s">
        <v>1803</v>
      </c>
      <c r="G215" s="5" t="s">
        <v>1804</v>
      </c>
      <c r="H215" s="5" t="s">
        <v>1805</v>
      </c>
      <c r="I215" s="5" t="s">
        <v>1870</v>
      </c>
      <c r="J215" s="5" t="s">
        <v>1678</v>
      </c>
      <c r="K215" s="5" t="s">
        <v>1679</v>
      </c>
      <c r="L215" s="5" t="s">
        <v>1680</v>
      </c>
      <c r="M215" s="5" t="s">
        <v>1681</v>
      </c>
      <c r="N215" s="5" t="s">
        <v>1682</v>
      </c>
      <c r="O215" s="5" t="s">
        <v>1680</v>
      </c>
      <c r="P215" s="6">
        <v>715</v>
      </c>
      <c r="Q215" s="6">
        <v>715</v>
      </c>
      <c r="R215" s="6">
        <v>0</v>
      </c>
      <c r="S215" s="6">
        <v>0</v>
      </c>
      <c r="T215" s="6">
        <v>0</v>
      </c>
    </row>
    <row r="216" spans="1:20">
      <c r="A216" s="5" t="s">
        <v>1672</v>
      </c>
      <c r="B216" s="5" t="s">
        <v>1673</v>
      </c>
      <c r="C216" s="5" t="s">
        <v>1715</v>
      </c>
      <c r="D216" s="5" t="s">
        <v>325</v>
      </c>
      <c r="E216" s="5" t="s">
        <v>1806</v>
      </c>
      <c r="F216" s="5" t="s">
        <v>1807</v>
      </c>
      <c r="G216" s="5" t="s">
        <v>1808</v>
      </c>
      <c r="H216" s="5" t="s">
        <v>1809</v>
      </c>
      <c r="I216" s="5" t="s">
        <v>1870</v>
      </c>
      <c r="J216" s="5" t="s">
        <v>1678</v>
      </c>
      <c r="K216" s="5" t="s">
        <v>1679</v>
      </c>
      <c r="L216" s="5" t="s">
        <v>1680</v>
      </c>
      <c r="M216" s="5" t="s">
        <v>1681</v>
      </c>
      <c r="N216" s="5" t="s">
        <v>1682</v>
      </c>
      <c r="O216" s="5" t="s">
        <v>1680</v>
      </c>
      <c r="P216" s="6">
        <v>715</v>
      </c>
      <c r="Q216" s="6">
        <v>715</v>
      </c>
      <c r="R216" s="6">
        <v>0</v>
      </c>
      <c r="S216" s="6">
        <v>0</v>
      </c>
      <c r="T216" s="6">
        <v>0</v>
      </c>
    </row>
    <row r="217" spans="1:20">
      <c r="A217" s="5" t="s">
        <v>1672</v>
      </c>
      <c r="B217" s="5" t="s">
        <v>1673</v>
      </c>
      <c r="C217" s="5" t="s">
        <v>1715</v>
      </c>
      <c r="D217" s="5" t="s">
        <v>325</v>
      </c>
      <c r="E217" s="5" t="s">
        <v>1810</v>
      </c>
      <c r="F217" s="5" t="s">
        <v>1811</v>
      </c>
      <c r="G217" s="5" t="s">
        <v>1812</v>
      </c>
      <c r="H217" s="5" t="s">
        <v>1813</v>
      </c>
      <c r="I217" s="5" t="s">
        <v>1870</v>
      </c>
      <c r="J217" s="5" t="s">
        <v>1678</v>
      </c>
      <c r="K217" s="5" t="s">
        <v>1679</v>
      </c>
      <c r="L217" s="5" t="s">
        <v>1680</v>
      </c>
      <c r="M217" s="5" t="s">
        <v>1681</v>
      </c>
      <c r="N217" s="5" t="s">
        <v>1682</v>
      </c>
      <c r="O217" s="5" t="s">
        <v>1680</v>
      </c>
      <c r="P217" s="6">
        <v>715</v>
      </c>
      <c r="Q217" s="6">
        <v>715</v>
      </c>
      <c r="R217" s="6">
        <v>0</v>
      </c>
      <c r="S217" s="6">
        <v>0</v>
      </c>
      <c r="T217" s="6">
        <v>0</v>
      </c>
    </row>
    <row r="218" spans="1:20">
      <c r="A218" s="5" t="s">
        <v>1672</v>
      </c>
      <c r="B218" s="5" t="s">
        <v>1673</v>
      </c>
      <c r="C218" s="5" t="s">
        <v>1715</v>
      </c>
      <c r="D218" s="5" t="s">
        <v>325</v>
      </c>
      <c r="E218" s="5" t="s">
        <v>1814</v>
      </c>
      <c r="F218" s="5" t="s">
        <v>1815</v>
      </c>
      <c r="G218" s="5" t="s">
        <v>1814</v>
      </c>
      <c r="H218" s="5" t="s">
        <v>1815</v>
      </c>
      <c r="I218" s="5" t="s">
        <v>1870</v>
      </c>
      <c r="J218" s="5" t="s">
        <v>1678</v>
      </c>
      <c r="K218" s="5" t="s">
        <v>1679</v>
      </c>
      <c r="L218" s="5" t="s">
        <v>1680</v>
      </c>
      <c r="M218" s="5" t="s">
        <v>1681</v>
      </c>
      <c r="N218" s="5" t="s">
        <v>1682</v>
      </c>
      <c r="O218" s="5" t="s">
        <v>1680</v>
      </c>
      <c r="P218" s="6">
        <v>715</v>
      </c>
      <c r="Q218" s="6">
        <v>715</v>
      </c>
      <c r="R218" s="6">
        <v>0</v>
      </c>
      <c r="S218" s="6">
        <v>0</v>
      </c>
      <c r="T218" s="6">
        <v>0</v>
      </c>
    </row>
    <row r="219" spans="1:20">
      <c r="A219" s="5" t="s">
        <v>1672</v>
      </c>
      <c r="B219" s="5" t="s">
        <v>1673</v>
      </c>
      <c r="C219" s="5" t="s">
        <v>1715</v>
      </c>
      <c r="D219" s="5" t="s">
        <v>325</v>
      </c>
      <c r="E219" s="5" t="s">
        <v>1816</v>
      </c>
      <c r="F219" s="5" t="s">
        <v>1817</v>
      </c>
      <c r="G219" s="5" t="s">
        <v>1818</v>
      </c>
      <c r="H219" s="5" t="s">
        <v>1819</v>
      </c>
      <c r="I219" s="5" t="s">
        <v>1870</v>
      </c>
      <c r="J219" s="5" t="s">
        <v>1678</v>
      </c>
      <c r="K219" s="5" t="s">
        <v>1679</v>
      </c>
      <c r="L219" s="5" t="s">
        <v>1680</v>
      </c>
      <c r="M219" s="5" t="s">
        <v>1681</v>
      </c>
      <c r="N219" s="5" t="s">
        <v>1682</v>
      </c>
      <c r="O219" s="5" t="s">
        <v>1680</v>
      </c>
      <c r="P219" s="6">
        <v>715</v>
      </c>
      <c r="Q219" s="6">
        <v>715</v>
      </c>
      <c r="R219" s="6">
        <v>0</v>
      </c>
      <c r="S219" s="6">
        <v>0</v>
      </c>
      <c r="T219" s="6">
        <v>0</v>
      </c>
    </row>
    <row r="220" spans="1:20">
      <c r="A220" s="5" t="s">
        <v>1672</v>
      </c>
      <c r="B220" s="5" t="s">
        <v>1673</v>
      </c>
      <c r="C220" s="5" t="s">
        <v>1715</v>
      </c>
      <c r="D220" s="5" t="s">
        <v>325</v>
      </c>
      <c r="E220" s="5" t="s">
        <v>1820</v>
      </c>
      <c r="F220" s="5" t="s">
        <v>1821</v>
      </c>
      <c r="G220" s="5" t="s">
        <v>1822</v>
      </c>
      <c r="H220" s="5" t="s">
        <v>1823</v>
      </c>
      <c r="I220" s="5" t="s">
        <v>1870</v>
      </c>
      <c r="J220" s="5" t="s">
        <v>1678</v>
      </c>
      <c r="K220" s="5" t="s">
        <v>1679</v>
      </c>
      <c r="L220" s="5" t="s">
        <v>1680</v>
      </c>
      <c r="M220" s="5" t="s">
        <v>1681</v>
      </c>
      <c r="N220" s="5" t="s">
        <v>1682</v>
      </c>
      <c r="O220" s="5" t="s">
        <v>1680</v>
      </c>
      <c r="P220" s="6">
        <v>715</v>
      </c>
      <c r="Q220" s="6">
        <v>715</v>
      </c>
      <c r="R220" s="6">
        <v>0</v>
      </c>
      <c r="S220" s="6">
        <v>0</v>
      </c>
      <c r="T220" s="6">
        <v>0</v>
      </c>
    </row>
    <row r="221" spans="1:20">
      <c r="A221" s="5" t="s">
        <v>1672</v>
      </c>
      <c r="B221" s="5" t="s">
        <v>1673</v>
      </c>
      <c r="C221" s="5" t="s">
        <v>1715</v>
      </c>
      <c r="D221" s="5" t="s">
        <v>325</v>
      </c>
      <c r="E221" s="5" t="s">
        <v>1824</v>
      </c>
      <c r="F221" s="5" t="s">
        <v>1825</v>
      </c>
      <c r="G221" s="5" t="s">
        <v>1826</v>
      </c>
      <c r="H221" s="5" t="s">
        <v>1827</v>
      </c>
      <c r="I221" s="5" t="s">
        <v>1870</v>
      </c>
      <c r="J221" s="5" t="s">
        <v>1678</v>
      </c>
      <c r="K221" s="5" t="s">
        <v>1679</v>
      </c>
      <c r="L221" s="5" t="s">
        <v>1680</v>
      </c>
      <c r="M221" s="5" t="s">
        <v>1681</v>
      </c>
      <c r="N221" s="5" t="s">
        <v>1682</v>
      </c>
      <c r="O221" s="5" t="s">
        <v>1680</v>
      </c>
      <c r="P221" s="6">
        <v>715</v>
      </c>
      <c r="Q221" s="6">
        <v>715</v>
      </c>
      <c r="R221" s="6">
        <v>0</v>
      </c>
      <c r="S221" s="6">
        <v>0</v>
      </c>
      <c r="T221" s="6">
        <v>0</v>
      </c>
    </row>
    <row r="222" spans="1:20">
      <c r="A222" s="5" t="s">
        <v>1672</v>
      </c>
      <c r="B222" s="5" t="s">
        <v>1673</v>
      </c>
      <c r="C222" s="5" t="s">
        <v>1715</v>
      </c>
      <c r="D222" s="5" t="s">
        <v>325</v>
      </c>
      <c r="E222" s="5" t="s">
        <v>1828</v>
      </c>
      <c r="F222" s="5" t="s">
        <v>1829</v>
      </c>
      <c r="G222" s="5" t="s">
        <v>1828</v>
      </c>
      <c r="H222" s="5" t="s">
        <v>1829</v>
      </c>
      <c r="I222" s="5" t="s">
        <v>1870</v>
      </c>
      <c r="J222" s="5" t="s">
        <v>1678</v>
      </c>
      <c r="K222" s="5" t="s">
        <v>1679</v>
      </c>
      <c r="L222" s="5" t="s">
        <v>1680</v>
      </c>
      <c r="M222" s="5" t="s">
        <v>1681</v>
      </c>
      <c r="N222" s="5" t="s">
        <v>1682</v>
      </c>
      <c r="O222" s="5" t="s">
        <v>1680</v>
      </c>
      <c r="P222" s="6">
        <v>715</v>
      </c>
      <c r="Q222" s="6">
        <v>715</v>
      </c>
      <c r="R222" s="6">
        <v>0</v>
      </c>
      <c r="S222" s="6">
        <v>0</v>
      </c>
      <c r="T222" s="6">
        <v>0</v>
      </c>
    </row>
    <row r="223" spans="1:20">
      <c r="A223" s="5" t="s">
        <v>1672</v>
      </c>
      <c r="B223" s="5" t="s">
        <v>1673</v>
      </c>
      <c r="C223" s="5" t="s">
        <v>1715</v>
      </c>
      <c r="D223" s="5" t="s">
        <v>325</v>
      </c>
      <c r="E223" s="5" t="s">
        <v>1830</v>
      </c>
      <c r="F223" s="5" t="s">
        <v>1831</v>
      </c>
      <c r="G223" s="5" t="s">
        <v>1830</v>
      </c>
      <c r="H223" s="5" t="s">
        <v>1831</v>
      </c>
      <c r="I223" s="5" t="s">
        <v>1870</v>
      </c>
      <c r="J223" s="5" t="s">
        <v>1678</v>
      </c>
      <c r="K223" s="5" t="s">
        <v>1679</v>
      </c>
      <c r="L223" s="5" t="s">
        <v>1680</v>
      </c>
      <c r="M223" s="5" t="s">
        <v>1681</v>
      </c>
      <c r="N223" s="5" t="s">
        <v>1682</v>
      </c>
      <c r="O223" s="5" t="s">
        <v>1680</v>
      </c>
      <c r="P223" s="6">
        <v>715</v>
      </c>
      <c r="Q223" s="6">
        <v>715</v>
      </c>
      <c r="R223" s="6">
        <v>0</v>
      </c>
      <c r="S223" s="6">
        <v>0</v>
      </c>
      <c r="T223" s="6">
        <v>0</v>
      </c>
    </row>
    <row r="224" spans="1:20">
      <c r="A224" s="5" t="s">
        <v>1672</v>
      </c>
      <c r="B224" s="5" t="s">
        <v>1673</v>
      </c>
      <c r="C224" s="5" t="s">
        <v>1715</v>
      </c>
      <c r="D224" s="5" t="s">
        <v>325</v>
      </c>
      <c r="E224" s="5" t="s">
        <v>1832</v>
      </c>
      <c r="F224" s="5" t="s">
        <v>1833</v>
      </c>
      <c r="G224" s="5" t="s">
        <v>1834</v>
      </c>
      <c r="H224" s="5" t="s">
        <v>1835</v>
      </c>
      <c r="I224" s="5" t="s">
        <v>1870</v>
      </c>
      <c r="J224" s="5" t="s">
        <v>1678</v>
      </c>
      <c r="K224" s="5" t="s">
        <v>1679</v>
      </c>
      <c r="L224" s="5" t="s">
        <v>1680</v>
      </c>
      <c r="M224" s="5" t="s">
        <v>1681</v>
      </c>
      <c r="N224" s="5" t="s">
        <v>1682</v>
      </c>
      <c r="O224" s="5" t="s">
        <v>1680</v>
      </c>
      <c r="P224" s="6">
        <v>715</v>
      </c>
      <c r="Q224" s="6">
        <v>715</v>
      </c>
      <c r="R224" s="6">
        <v>0</v>
      </c>
      <c r="S224" s="6">
        <v>0</v>
      </c>
      <c r="T224" s="6">
        <v>0</v>
      </c>
    </row>
    <row r="225" spans="1:20">
      <c r="A225" s="5" t="s">
        <v>1672</v>
      </c>
      <c r="B225" s="5" t="s">
        <v>1673</v>
      </c>
      <c r="C225" s="5" t="s">
        <v>1715</v>
      </c>
      <c r="D225" s="5" t="s">
        <v>325</v>
      </c>
      <c r="E225" s="5" t="s">
        <v>1836</v>
      </c>
      <c r="F225" s="5" t="s">
        <v>1837</v>
      </c>
      <c r="G225" s="5" t="s">
        <v>1836</v>
      </c>
      <c r="H225" s="5" t="s">
        <v>1837</v>
      </c>
      <c r="I225" s="5" t="s">
        <v>1870</v>
      </c>
      <c r="J225" s="5" t="s">
        <v>1678</v>
      </c>
      <c r="K225" s="5" t="s">
        <v>1679</v>
      </c>
      <c r="L225" s="5" t="s">
        <v>1680</v>
      </c>
      <c r="M225" s="5" t="s">
        <v>1681</v>
      </c>
      <c r="N225" s="5" t="s">
        <v>1682</v>
      </c>
      <c r="O225" s="5" t="s">
        <v>1680</v>
      </c>
      <c r="P225" s="6">
        <v>715</v>
      </c>
      <c r="Q225" s="6">
        <v>715</v>
      </c>
      <c r="R225" s="6">
        <v>0</v>
      </c>
      <c r="S225" s="6">
        <v>0</v>
      </c>
      <c r="T225" s="6">
        <v>0</v>
      </c>
    </row>
    <row r="226" spans="1:20">
      <c r="A226" s="5" t="s">
        <v>1672</v>
      </c>
      <c r="B226" s="5" t="s">
        <v>1673</v>
      </c>
      <c r="C226" s="5" t="s">
        <v>1715</v>
      </c>
      <c r="D226" s="5" t="s">
        <v>325</v>
      </c>
      <c r="E226" s="5" t="s">
        <v>1838</v>
      </c>
      <c r="F226" s="5" t="s">
        <v>1839</v>
      </c>
      <c r="G226" s="5" t="s">
        <v>1840</v>
      </c>
      <c r="H226" s="5" t="s">
        <v>1841</v>
      </c>
      <c r="I226" s="5" t="s">
        <v>1870</v>
      </c>
      <c r="J226" s="5" t="s">
        <v>1678</v>
      </c>
      <c r="K226" s="5" t="s">
        <v>1679</v>
      </c>
      <c r="L226" s="5" t="s">
        <v>1680</v>
      </c>
      <c r="M226" s="5" t="s">
        <v>1681</v>
      </c>
      <c r="N226" s="5" t="s">
        <v>1682</v>
      </c>
      <c r="O226" s="5" t="s">
        <v>1680</v>
      </c>
      <c r="P226" s="6">
        <v>715</v>
      </c>
      <c r="Q226" s="6">
        <v>715</v>
      </c>
      <c r="R226" s="6">
        <v>0</v>
      </c>
      <c r="S226" s="6">
        <v>0</v>
      </c>
      <c r="T226" s="6">
        <v>0</v>
      </c>
    </row>
    <row r="227" spans="1:20">
      <c r="A227" s="5" t="s">
        <v>1672</v>
      </c>
      <c r="B227" s="5" t="s">
        <v>1673</v>
      </c>
      <c r="C227" s="5" t="s">
        <v>1674</v>
      </c>
      <c r="D227" s="5" t="s">
        <v>2</v>
      </c>
      <c r="E227" s="5" t="s">
        <v>1675</v>
      </c>
      <c r="F227" s="5" t="s">
        <v>1676</v>
      </c>
      <c r="G227" s="5" t="s">
        <v>1675</v>
      </c>
      <c r="H227" s="5" t="s">
        <v>1676</v>
      </c>
      <c r="I227" s="5" t="s">
        <v>1871</v>
      </c>
      <c r="J227" s="5" t="s">
        <v>1678</v>
      </c>
      <c r="K227" s="5" t="s">
        <v>1872</v>
      </c>
      <c r="L227" s="5" t="s">
        <v>1680</v>
      </c>
      <c r="M227" s="5" t="s">
        <v>1681</v>
      </c>
      <c r="N227" s="5" t="s">
        <v>1682</v>
      </c>
      <c r="O227" s="5" t="s">
        <v>1680</v>
      </c>
      <c r="P227" s="6">
        <v>5963.88</v>
      </c>
      <c r="Q227" s="6">
        <v>7458</v>
      </c>
      <c r="R227" s="6">
        <v>27.92</v>
      </c>
      <c r="S227" s="6">
        <v>780</v>
      </c>
      <c r="T227" s="6">
        <v>686.2</v>
      </c>
    </row>
    <row r="228" spans="1:20">
      <c r="A228" s="5" t="s">
        <v>1672</v>
      </c>
      <c r="B228" s="5" t="s">
        <v>1673</v>
      </c>
      <c r="C228" s="5" t="s">
        <v>1674</v>
      </c>
      <c r="D228" s="5" t="s">
        <v>2</v>
      </c>
      <c r="E228" s="5" t="s">
        <v>1683</v>
      </c>
      <c r="F228" s="5" t="s">
        <v>1684</v>
      </c>
      <c r="G228" s="5" t="s">
        <v>1683</v>
      </c>
      <c r="H228" s="5" t="s">
        <v>1684</v>
      </c>
      <c r="I228" s="5" t="s">
        <v>1871</v>
      </c>
      <c r="J228" s="5" t="s">
        <v>1678</v>
      </c>
      <c r="K228" s="5" t="s">
        <v>1872</v>
      </c>
      <c r="L228" s="5" t="s">
        <v>1680</v>
      </c>
      <c r="M228" s="5" t="s">
        <v>1681</v>
      </c>
      <c r="N228" s="5" t="s">
        <v>1682</v>
      </c>
      <c r="O228" s="5" t="s">
        <v>1680</v>
      </c>
      <c r="P228" s="6">
        <v>5963.88</v>
      </c>
      <c r="Q228" s="6">
        <v>7458</v>
      </c>
      <c r="R228" s="6">
        <v>27.92</v>
      </c>
      <c r="S228" s="6">
        <v>780</v>
      </c>
      <c r="T228" s="6">
        <v>686.2</v>
      </c>
    </row>
    <row r="229" spans="1:20">
      <c r="A229" s="5" t="s">
        <v>1672</v>
      </c>
      <c r="B229" s="5" t="s">
        <v>1673</v>
      </c>
      <c r="C229" s="5" t="s">
        <v>1674</v>
      </c>
      <c r="D229" s="5" t="s">
        <v>2</v>
      </c>
      <c r="E229" s="5" t="s">
        <v>1685</v>
      </c>
      <c r="F229" s="5" t="s">
        <v>1686</v>
      </c>
      <c r="G229" s="5" t="s">
        <v>1685</v>
      </c>
      <c r="H229" s="5" t="s">
        <v>1686</v>
      </c>
      <c r="I229" s="5" t="s">
        <v>1871</v>
      </c>
      <c r="J229" s="5" t="s">
        <v>1678</v>
      </c>
      <c r="K229" s="5" t="s">
        <v>1872</v>
      </c>
      <c r="L229" s="5" t="s">
        <v>1680</v>
      </c>
      <c r="M229" s="5" t="s">
        <v>1681</v>
      </c>
      <c r="N229" s="5" t="s">
        <v>1682</v>
      </c>
      <c r="O229" s="5" t="s">
        <v>1680</v>
      </c>
      <c r="P229" s="6">
        <v>5963.88</v>
      </c>
      <c r="Q229" s="6">
        <v>7458</v>
      </c>
      <c r="R229" s="6">
        <v>27.92</v>
      </c>
      <c r="S229" s="6">
        <v>780</v>
      </c>
      <c r="T229" s="6">
        <v>686.2</v>
      </c>
    </row>
    <row r="230" spans="1:20">
      <c r="A230" s="5" t="s">
        <v>1672</v>
      </c>
      <c r="B230" s="5" t="s">
        <v>1673</v>
      </c>
      <c r="C230" s="5" t="s">
        <v>1674</v>
      </c>
      <c r="D230" s="5" t="s">
        <v>2</v>
      </c>
      <c r="E230" s="5" t="s">
        <v>1687</v>
      </c>
      <c r="F230" s="5" t="s">
        <v>1688</v>
      </c>
      <c r="G230" s="5" t="s">
        <v>1687</v>
      </c>
      <c r="H230" s="5" t="s">
        <v>1688</v>
      </c>
      <c r="I230" s="5" t="s">
        <v>1871</v>
      </c>
      <c r="J230" s="5" t="s">
        <v>1678</v>
      </c>
      <c r="K230" s="5" t="s">
        <v>1872</v>
      </c>
      <c r="L230" s="5" t="s">
        <v>1680</v>
      </c>
      <c r="M230" s="5" t="s">
        <v>1681</v>
      </c>
      <c r="N230" s="5" t="s">
        <v>1682</v>
      </c>
      <c r="O230" s="5" t="s">
        <v>1680</v>
      </c>
      <c r="P230" s="6">
        <v>5963.88</v>
      </c>
      <c r="Q230" s="6">
        <v>7458</v>
      </c>
      <c r="R230" s="6">
        <v>27.92</v>
      </c>
      <c r="S230" s="6">
        <v>780</v>
      </c>
      <c r="T230" s="6">
        <v>686.2</v>
      </c>
    </row>
    <row r="231" spans="1:20">
      <c r="A231" s="5" t="s">
        <v>1672</v>
      </c>
      <c r="B231" s="5" t="s">
        <v>1673</v>
      </c>
      <c r="C231" s="5" t="s">
        <v>1674</v>
      </c>
      <c r="D231" s="5" t="s">
        <v>2</v>
      </c>
      <c r="E231" s="5" t="s">
        <v>1689</v>
      </c>
      <c r="F231" s="5" t="s">
        <v>1690</v>
      </c>
      <c r="G231" s="5" t="s">
        <v>1689</v>
      </c>
      <c r="H231" s="5" t="s">
        <v>1690</v>
      </c>
      <c r="I231" s="5" t="s">
        <v>1871</v>
      </c>
      <c r="J231" s="5" t="s">
        <v>1678</v>
      </c>
      <c r="K231" s="5" t="s">
        <v>1872</v>
      </c>
      <c r="L231" s="5" t="s">
        <v>1680</v>
      </c>
      <c r="M231" s="5" t="s">
        <v>1681</v>
      </c>
      <c r="N231" s="5" t="s">
        <v>1682</v>
      </c>
      <c r="O231" s="5" t="s">
        <v>1680</v>
      </c>
      <c r="P231" s="6">
        <v>5963.88</v>
      </c>
      <c r="Q231" s="6">
        <v>7458</v>
      </c>
      <c r="R231" s="6">
        <v>27.92</v>
      </c>
      <c r="S231" s="6">
        <v>780</v>
      </c>
      <c r="T231" s="6">
        <v>686.2</v>
      </c>
    </row>
    <row r="232" spans="1:20">
      <c r="A232" s="5" t="s">
        <v>1672</v>
      </c>
      <c r="B232" s="5" t="s">
        <v>1673</v>
      </c>
      <c r="C232" s="5" t="s">
        <v>1674</v>
      </c>
      <c r="D232" s="5" t="s">
        <v>2</v>
      </c>
      <c r="E232" s="5" t="s">
        <v>1691</v>
      </c>
      <c r="F232" s="5" t="s">
        <v>1692</v>
      </c>
      <c r="G232" s="5" t="s">
        <v>1693</v>
      </c>
      <c r="H232" s="5" t="s">
        <v>1694</v>
      </c>
      <c r="I232" s="5" t="s">
        <v>1871</v>
      </c>
      <c r="J232" s="5" t="s">
        <v>1678</v>
      </c>
      <c r="K232" s="5" t="s">
        <v>1872</v>
      </c>
      <c r="L232" s="5" t="s">
        <v>1680</v>
      </c>
      <c r="M232" s="5" t="s">
        <v>1681</v>
      </c>
      <c r="N232" s="5" t="s">
        <v>1682</v>
      </c>
      <c r="O232" s="5" t="s">
        <v>1680</v>
      </c>
      <c r="P232" s="6">
        <v>5963.88</v>
      </c>
      <c r="Q232" s="6">
        <v>7458</v>
      </c>
      <c r="R232" s="6">
        <v>27.92</v>
      </c>
      <c r="S232" s="6">
        <v>780</v>
      </c>
      <c r="T232" s="6">
        <v>686.2</v>
      </c>
    </row>
    <row r="233" spans="1:20">
      <c r="A233" s="5" t="s">
        <v>1672</v>
      </c>
      <c r="B233" s="5" t="s">
        <v>1673</v>
      </c>
      <c r="C233" s="5" t="s">
        <v>1674</v>
      </c>
      <c r="D233" s="5" t="s">
        <v>2</v>
      </c>
      <c r="E233" s="5" t="s">
        <v>1695</v>
      </c>
      <c r="F233" s="5" t="s">
        <v>1696</v>
      </c>
      <c r="G233" s="5" t="s">
        <v>1697</v>
      </c>
      <c r="H233" s="5" t="s">
        <v>1698</v>
      </c>
      <c r="I233" s="5" t="s">
        <v>1871</v>
      </c>
      <c r="J233" s="5" t="s">
        <v>1678</v>
      </c>
      <c r="K233" s="5" t="s">
        <v>1872</v>
      </c>
      <c r="L233" s="5" t="s">
        <v>1680</v>
      </c>
      <c r="M233" s="5" t="s">
        <v>1681</v>
      </c>
      <c r="N233" s="5" t="s">
        <v>1682</v>
      </c>
      <c r="O233" s="5" t="s">
        <v>1680</v>
      </c>
      <c r="P233" s="6">
        <v>5963.88</v>
      </c>
      <c r="Q233" s="6">
        <v>7458</v>
      </c>
      <c r="R233" s="6">
        <v>27.92</v>
      </c>
      <c r="S233" s="6">
        <v>780</v>
      </c>
      <c r="T233" s="6">
        <v>686.2</v>
      </c>
    </row>
    <row r="234" spans="1:20">
      <c r="A234" s="5" t="s">
        <v>1672</v>
      </c>
      <c r="B234" s="5" t="s">
        <v>1673</v>
      </c>
      <c r="C234" s="5" t="s">
        <v>1674</v>
      </c>
      <c r="D234" s="5" t="s">
        <v>2</v>
      </c>
      <c r="E234" s="5" t="s">
        <v>1699</v>
      </c>
      <c r="F234" s="5" t="s">
        <v>1700</v>
      </c>
      <c r="G234" s="5" t="s">
        <v>1699</v>
      </c>
      <c r="H234" s="5" t="s">
        <v>1700</v>
      </c>
      <c r="I234" s="5" t="s">
        <v>1871</v>
      </c>
      <c r="J234" s="5" t="s">
        <v>1678</v>
      </c>
      <c r="K234" s="5" t="s">
        <v>1872</v>
      </c>
      <c r="L234" s="5" t="s">
        <v>1680</v>
      </c>
      <c r="M234" s="5" t="s">
        <v>1681</v>
      </c>
      <c r="N234" s="5" t="s">
        <v>1682</v>
      </c>
      <c r="O234" s="5" t="s">
        <v>1680</v>
      </c>
      <c r="P234" s="6">
        <v>5963.88</v>
      </c>
      <c r="Q234" s="6">
        <v>7458</v>
      </c>
      <c r="R234" s="6">
        <v>27.92</v>
      </c>
      <c r="S234" s="6">
        <v>780</v>
      </c>
      <c r="T234" s="6">
        <v>686.2</v>
      </c>
    </row>
    <row r="235" spans="1:20">
      <c r="A235" s="5" t="s">
        <v>1672</v>
      </c>
      <c r="B235" s="5" t="s">
        <v>1673</v>
      </c>
      <c r="C235" s="5" t="s">
        <v>1674</v>
      </c>
      <c r="D235" s="5" t="s">
        <v>2</v>
      </c>
      <c r="E235" s="5" t="s">
        <v>1701</v>
      </c>
      <c r="F235" s="5" t="s">
        <v>1702</v>
      </c>
      <c r="G235" s="5" t="s">
        <v>1701</v>
      </c>
      <c r="H235" s="5" t="s">
        <v>1702</v>
      </c>
      <c r="I235" s="5" t="s">
        <v>1871</v>
      </c>
      <c r="J235" s="5" t="s">
        <v>1678</v>
      </c>
      <c r="K235" s="5" t="s">
        <v>1872</v>
      </c>
      <c r="L235" s="5" t="s">
        <v>1680</v>
      </c>
      <c r="M235" s="5" t="s">
        <v>1681</v>
      </c>
      <c r="N235" s="5" t="s">
        <v>1682</v>
      </c>
      <c r="O235" s="5" t="s">
        <v>1680</v>
      </c>
      <c r="P235" s="6">
        <v>5963.88</v>
      </c>
      <c r="Q235" s="6">
        <v>7458</v>
      </c>
      <c r="R235" s="6">
        <v>27.92</v>
      </c>
      <c r="S235" s="6">
        <v>780</v>
      </c>
      <c r="T235" s="6">
        <v>686.2</v>
      </c>
    </row>
    <row r="236" spans="1:20">
      <c r="A236" s="5" t="s">
        <v>1672</v>
      </c>
      <c r="B236" s="5" t="s">
        <v>1673</v>
      </c>
      <c r="C236" s="5" t="s">
        <v>1674</v>
      </c>
      <c r="D236" s="5" t="s">
        <v>2</v>
      </c>
      <c r="E236" s="5" t="s">
        <v>1703</v>
      </c>
      <c r="F236" s="5" t="s">
        <v>1704</v>
      </c>
      <c r="G236" s="5" t="s">
        <v>1705</v>
      </c>
      <c r="H236" s="5" t="s">
        <v>1706</v>
      </c>
      <c r="I236" s="5" t="s">
        <v>1871</v>
      </c>
      <c r="J236" s="5" t="s">
        <v>1678</v>
      </c>
      <c r="K236" s="5" t="s">
        <v>1872</v>
      </c>
      <c r="L236" s="5" t="s">
        <v>1680</v>
      </c>
      <c r="M236" s="5" t="s">
        <v>1681</v>
      </c>
      <c r="N236" s="5" t="s">
        <v>1682</v>
      </c>
      <c r="O236" s="5" t="s">
        <v>1680</v>
      </c>
      <c r="P236" s="6">
        <v>5963.88</v>
      </c>
      <c r="Q236" s="6">
        <v>7458</v>
      </c>
      <c r="R236" s="6">
        <v>27.92</v>
      </c>
      <c r="S236" s="6">
        <v>780</v>
      </c>
      <c r="T236" s="6">
        <v>686.2</v>
      </c>
    </row>
    <row r="237" spans="1:20">
      <c r="A237" s="5" t="s">
        <v>1672</v>
      </c>
      <c r="B237" s="5" t="s">
        <v>1673</v>
      </c>
      <c r="C237" s="5" t="s">
        <v>1674</v>
      </c>
      <c r="D237" s="5" t="s">
        <v>2</v>
      </c>
      <c r="E237" s="5" t="s">
        <v>1707</v>
      </c>
      <c r="F237" s="5" t="s">
        <v>1708</v>
      </c>
      <c r="G237" s="5" t="s">
        <v>1707</v>
      </c>
      <c r="H237" s="5" t="s">
        <v>1708</v>
      </c>
      <c r="I237" s="5" t="s">
        <v>1871</v>
      </c>
      <c r="J237" s="5" t="s">
        <v>1678</v>
      </c>
      <c r="K237" s="5" t="s">
        <v>1872</v>
      </c>
      <c r="L237" s="5" t="s">
        <v>1680</v>
      </c>
      <c r="M237" s="5" t="s">
        <v>1681</v>
      </c>
      <c r="N237" s="5" t="s">
        <v>1682</v>
      </c>
      <c r="O237" s="5" t="s">
        <v>1680</v>
      </c>
      <c r="P237" s="6">
        <v>5963.88</v>
      </c>
      <c r="Q237" s="6">
        <v>7458</v>
      </c>
      <c r="R237" s="6">
        <v>27.92</v>
      </c>
      <c r="S237" s="6">
        <v>780</v>
      </c>
      <c r="T237" s="6">
        <v>686.2</v>
      </c>
    </row>
    <row r="238" spans="1:20">
      <c r="A238" s="5" t="s">
        <v>1672</v>
      </c>
      <c r="B238" s="5" t="s">
        <v>1673</v>
      </c>
      <c r="C238" s="5" t="s">
        <v>1674</v>
      </c>
      <c r="D238" s="5" t="s">
        <v>2</v>
      </c>
      <c r="E238" s="5" t="s">
        <v>1709</v>
      </c>
      <c r="F238" s="5" t="s">
        <v>1710</v>
      </c>
      <c r="G238" s="5" t="s">
        <v>1709</v>
      </c>
      <c r="H238" s="5" t="s">
        <v>1710</v>
      </c>
      <c r="I238" s="5" t="s">
        <v>1871</v>
      </c>
      <c r="J238" s="5" t="s">
        <v>1678</v>
      </c>
      <c r="K238" s="5" t="s">
        <v>1872</v>
      </c>
      <c r="L238" s="5" t="s">
        <v>1680</v>
      </c>
      <c r="M238" s="5" t="s">
        <v>1681</v>
      </c>
      <c r="N238" s="5" t="s">
        <v>1682</v>
      </c>
      <c r="O238" s="5" t="s">
        <v>1680</v>
      </c>
      <c r="P238" s="6">
        <v>5963.88</v>
      </c>
      <c r="Q238" s="6">
        <v>7458</v>
      </c>
      <c r="R238" s="6">
        <v>27.92</v>
      </c>
      <c r="S238" s="6">
        <v>780</v>
      </c>
      <c r="T238" s="6">
        <v>686.2</v>
      </c>
    </row>
    <row r="239" spans="1:20">
      <c r="A239" s="5" t="s">
        <v>1672</v>
      </c>
      <c r="B239" s="5" t="s">
        <v>1673</v>
      </c>
      <c r="C239" s="5" t="s">
        <v>1674</v>
      </c>
      <c r="D239" s="5" t="s">
        <v>2</v>
      </c>
      <c r="E239" s="5" t="s">
        <v>1711</v>
      </c>
      <c r="F239" s="5" t="s">
        <v>1712</v>
      </c>
      <c r="G239" s="5" t="s">
        <v>1711</v>
      </c>
      <c r="H239" s="5" t="s">
        <v>1712</v>
      </c>
      <c r="I239" s="5" t="s">
        <v>1871</v>
      </c>
      <c r="J239" s="5" t="s">
        <v>1678</v>
      </c>
      <c r="K239" s="5" t="s">
        <v>1872</v>
      </c>
      <c r="L239" s="5" t="s">
        <v>1680</v>
      </c>
      <c r="M239" s="5" t="s">
        <v>1681</v>
      </c>
      <c r="N239" s="5" t="s">
        <v>1682</v>
      </c>
      <c r="O239" s="5" t="s">
        <v>1680</v>
      </c>
      <c r="P239" s="6">
        <v>5963.88</v>
      </c>
      <c r="Q239" s="6">
        <v>7458</v>
      </c>
      <c r="R239" s="6">
        <v>27.92</v>
      </c>
      <c r="S239" s="6">
        <v>780</v>
      </c>
      <c r="T239" s="6">
        <v>686.2</v>
      </c>
    </row>
    <row r="240" spans="1:20">
      <c r="A240" s="5" t="s">
        <v>1672</v>
      </c>
      <c r="B240" s="5" t="s">
        <v>1673</v>
      </c>
      <c r="C240" s="5" t="s">
        <v>1674</v>
      </c>
      <c r="D240" s="5" t="s">
        <v>2</v>
      </c>
      <c r="E240" s="5" t="s">
        <v>1713</v>
      </c>
      <c r="F240" s="5" t="s">
        <v>1714</v>
      </c>
      <c r="G240" s="5" t="s">
        <v>1713</v>
      </c>
      <c r="H240" s="5" t="s">
        <v>1714</v>
      </c>
      <c r="I240" s="5" t="s">
        <v>1871</v>
      </c>
      <c r="J240" s="5" t="s">
        <v>1678</v>
      </c>
      <c r="K240" s="5" t="s">
        <v>1872</v>
      </c>
      <c r="L240" s="5" t="s">
        <v>1680</v>
      </c>
      <c r="M240" s="5" t="s">
        <v>1681</v>
      </c>
      <c r="N240" s="5" t="s">
        <v>1682</v>
      </c>
      <c r="O240" s="5" t="s">
        <v>1680</v>
      </c>
      <c r="P240" s="6">
        <v>5963.88</v>
      </c>
      <c r="Q240" s="6">
        <v>7458</v>
      </c>
      <c r="R240" s="6">
        <v>27.92</v>
      </c>
      <c r="S240" s="6">
        <v>780</v>
      </c>
      <c r="T240" s="6">
        <v>686.2</v>
      </c>
    </row>
    <row r="241" spans="1:20">
      <c r="A241" s="5" t="s">
        <v>1672</v>
      </c>
      <c r="B241" s="5" t="s">
        <v>1673</v>
      </c>
      <c r="C241" s="5" t="s">
        <v>1715</v>
      </c>
      <c r="D241" s="5" t="s">
        <v>325</v>
      </c>
      <c r="E241" s="5" t="s">
        <v>1716</v>
      </c>
      <c r="F241" s="5" t="s">
        <v>1717</v>
      </c>
      <c r="G241" s="5" t="s">
        <v>1716</v>
      </c>
      <c r="H241" s="5" t="s">
        <v>1717</v>
      </c>
      <c r="I241" s="5" t="s">
        <v>1871</v>
      </c>
      <c r="J241" s="5" t="s">
        <v>1678</v>
      </c>
      <c r="K241" s="5" t="s">
        <v>1872</v>
      </c>
      <c r="L241" s="5" t="s">
        <v>1680</v>
      </c>
      <c r="M241" s="5" t="s">
        <v>1681</v>
      </c>
      <c r="N241" s="5" t="s">
        <v>1682</v>
      </c>
      <c r="O241" s="5" t="s">
        <v>1680</v>
      </c>
      <c r="P241" s="6">
        <v>103046.08</v>
      </c>
      <c r="Q241" s="6">
        <v>503574</v>
      </c>
      <c r="R241" s="6">
        <v>0</v>
      </c>
      <c r="S241" s="6">
        <v>332723.09000000003</v>
      </c>
      <c r="T241" s="6">
        <v>67804.83</v>
      </c>
    </row>
    <row r="242" spans="1:20">
      <c r="A242" s="5" t="s">
        <v>1672</v>
      </c>
      <c r="B242" s="5" t="s">
        <v>1673</v>
      </c>
      <c r="C242" s="5" t="s">
        <v>1715</v>
      </c>
      <c r="D242" s="5" t="s">
        <v>325</v>
      </c>
      <c r="E242" s="5" t="s">
        <v>1718</v>
      </c>
      <c r="F242" s="5" t="s">
        <v>1719</v>
      </c>
      <c r="G242" s="5" t="s">
        <v>1718</v>
      </c>
      <c r="H242" s="5" t="s">
        <v>1719</v>
      </c>
      <c r="I242" s="5" t="s">
        <v>1871</v>
      </c>
      <c r="J242" s="5" t="s">
        <v>1678</v>
      </c>
      <c r="K242" s="5" t="s">
        <v>1872</v>
      </c>
      <c r="L242" s="5" t="s">
        <v>1680</v>
      </c>
      <c r="M242" s="5" t="s">
        <v>1681</v>
      </c>
      <c r="N242" s="5" t="s">
        <v>1682</v>
      </c>
      <c r="O242" s="5" t="s">
        <v>1680</v>
      </c>
      <c r="P242" s="6">
        <v>103046.08</v>
      </c>
      <c r="Q242" s="6">
        <v>503574</v>
      </c>
      <c r="R242" s="6">
        <v>0</v>
      </c>
      <c r="S242" s="6">
        <v>332723.09000000003</v>
      </c>
      <c r="T242" s="6">
        <v>67804.83</v>
      </c>
    </row>
    <row r="243" spans="1:20">
      <c r="A243" s="5" t="s">
        <v>1672</v>
      </c>
      <c r="B243" s="5" t="s">
        <v>1673</v>
      </c>
      <c r="C243" s="5" t="s">
        <v>1715</v>
      </c>
      <c r="D243" s="5" t="s">
        <v>325</v>
      </c>
      <c r="E243" s="5" t="s">
        <v>1720</v>
      </c>
      <c r="F243" s="5" t="s">
        <v>1721</v>
      </c>
      <c r="G243" s="5" t="s">
        <v>1720</v>
      </c>
      <c r="H243" s="5" t="s">
        <v>1721</v>
      </c>
      <c r="I243" s="5" t="s">
        <v>1871</v>
      </c>
      <c r="J243" s="5" t="s">
        <v>1678</v>
      </c>
      <c r="K243" s="5" t="s">
        <v>1872</v>
      </c>
      <c r="L243" s="5" t="s">
        <v>1680</v>
      </c>
      <c r="M243" s="5" t="s">
        <v>1681</v>
      </c>
      <c r="N243" s="5" t="s">
        <v>1682</v>
      </c>
      <c r="O243" s="5" t="s">
        <v>1680</v>
      </c>
      <c r="P243" s="6">
        <v>103046.08</v>
      </c>
      <c r="Q243" s="6">
        <v>503574</v>
      </c>
      <c r="R243" s="6">
        <v>0</v>
      </c>
      <c r="S243" s="6">
        <v>332723.09000000003</v>
      </c>
      <c r="T243" s="6">
        <v>67804.83</v>
      </c>
    </row>
    <row r="244" spans="1:20">
      <c r="A244" s="5" t="s">
        <v>1672</v>
      </c>
      <c r="B244" s="5" t="s">
        <v>1673</v>
      </c>
      <c r="C244" s="5" t="s">
        <v>1715</v>
      </c>
      <c r="D244" s="5" t="s">
        <v>325</v>
      </c>
      <c r="E244" s="5" t="s">
        <v>1722</v>
      </c>
      <c r="F244" s="5" t="s">
        <v>1723</v>
      </c>
      <c r="G244" s="5" t="s">
        <v>1724</v>
      </c>
      <c r="H244" s="5" t="s">
        <v>1725</v>
      </c>
      <c r="I244" s="5" t="s">
        <v>1871</v>
      </c>
      <c r="J244" s="5" t="s">
        <v>1678</v>
      </c>
      <c r="K244" s="5" t="s">
        <v>1872</v>
      </c>
      <c r="L244" s="5" t="s">
        <v>1680</v>
      </c>
      <c r="M244" s="5" t="s">
        <v>1681</v>
      </c>
      <c r="N244" s="5" t="s">
        <v>1682</v>
      </c>
      <c r="O244" s="5" t="s">
        <v>1680</v>
      </c>
      <c r="P244" s="6">
        <v>103046.08</v>
      </c>
      <c r="Q244" s="6">
        <v>503574</v>
      </c>
      <c r="R244" s="6">
        <v>0</v>
      </c>
      <c r="S244" s="6">
        <v>332723.09000000003</v>
      </c>
      <c r="T244" s="6">
        <v>67804.83</v>
      </c>
    </row>
    <row r="245" spans="1:20">
      <c r="A245" s="5" t="s">
        <v>1672</v>
      </c>
      <c r="B245" s="5" t="s">
        <v>1673</v>
      </c>
      <c r="C245" s="5" t="s">
        <v>1715</v>
      </c>
      <c r="D245" s="5" t="s">
        <v>325</v>
      </c>
      <c r="E245" s="5" t="s">
        <v>1726</v>
      </c>
      <c r="F245" s="5" t="s">
        <v>1727</v>
      </c>
      <c r="G245" s="5" t="s">
        <v>1726</v>
      </c>
      <c r="H245" s="5" t="s">
        <v>1727</v>
      </c>
      <c r="I245" s="5" t="s">
        <v>1871</v>
      </c>
      <c r="J245" s="5" t="s">
        <v>1678</v>
      </c>
      <c r="K245" s="5" t="s">
        <v>1872</v>
      </c>
      <c r="L245" s="5" t="s">
        <v>1680</v>
      </c>
      <c r="M245" s="5" t="s">
        <v>1681</v>
      </c>
      <c r="N245" s="5" t="s">
        <v>1682</v>
      </c>
      <c r="O245" s="5" t="s">
        <v>1680</v>
      </c>
      <c r="P245" s="6">
        <v>103046.08</v>
      </c>
      <c r="Q245" s="6">
        <v>503574</v>
      </c>
      <c r="R245" s="6">
        <v>0</v>
      </c>
      <c r="S245" s="6">
        <v>332723.09000000003</v>
      </c>
      <c r="T245" s="6">
        <v>67804.83</v>
      </c>
    </row>
    <row r="246" spans="1:20">
      <c r="A246" s="5" t="s">
        <v>1672</v>
      </c>
      <c r="B246" s="5" t="s">
        <v>1673</v>
      </c>
      <c r="C246" s="5" t="s">
        <v>1715</v>
      </c>
      <c r="D246" s="5" t="s">
        <v>325</v>
      </c>
      <c r="E246" s="5" t="s">
        <v>1728</v>
      </c>
      <c r="F246" s="5" t="s">
        <v>1729</v>
      </c>
      <c r="G246" s="5" t="s">
        <v>1728</v>
      </c>
      <c r="H246" s="5" t="s">
        <v>1729</v>
      </c>
      <c r="I246" s="5" t="s">
        <v>1871</v>
      </c>
      <c r="J246" s="5" t="s">
        <v>1678</v>
      </c>
      <c r="K246" s="5" t="s">
        <v>1872</v>
      </c>
      <c r="L246" s="5" t="s">
        <v>1680</v>
      </c>
      <c r="M246" s="5" t="s">
        <v>1681</v>
      </c>
      <c r="N246" s="5" t="s">
        <v>1682</v>
      </c>
      <c r="O246" s="5" t="s">
        <v>1680</v>
      </c>
      <c r="P246" s="6">
        <v>103046.08</v>
      </c>
      <c r="Q246" s="6">
        <v>503574</v>
      </c>
      <c r="R246" s="6">
        <v>0</v>
      </c>
      <c r="S246" s="6">
        <v>332723.09000000003</v>
      </c>
      <c r="T246" s="6">
        <v>67804.83</v>
      </c>
    </row>
    <row r="247" spans="1:20">
      <c r="A247" s="5" t="s">
        <v>1672</v>
      </c>
      <c r="B247" s="5" t="s">
        <v>1673</v>
      </c>
      <c r="C247" s="5" t="s">
        <v>1715</v>
      </c>
      <c r="D247" s="5" t="s">
        <v>325</v>
      </c>
      <c r="E247" s="5" t="s">
        <v>1730</v>
      </c>
      <c r="F247" s="5" t="s">
        <v>1731</v>
      </c>
      <c r="G247" s="5" t="s">
        <v>1730</v>
      </c>
      <c r="H247" s="5" t="s">
        <v>1731</v>
      </c>
      <c r="I247" s="5" t="s">
        <v>1871</v>
      </c>
      <c r="J247" s="5" t="s">
        <v>1678</v>
      </c>
      <c r="K247" s="5" t="s">
        <v>1872</v>
      </c>
      <c r="L247" s="5" t="s">
        <v>1680</v>
      </c>
      <c r="M247" s="5" t="s">
        <v>1681</v>
      </c>
      <c r="N247" s="5" t="s">
        <v>1682</v>
      </c>
      <c r="O247" s="5" t="s">
        <v>1680</v>
      </c>
      <c r="P247" s="6">
        <v>103046.08</v>
      </c>
      <c r="Q247" s="6">
        <v>503574</v>
      </c>
      <c r="R247" s="6">
        <v>0</v>
      </c>
      <c r="S247" s="6">
        <v>332723.09000000003</v>
      </c>
      <c r="T247" s="6">
        <v>67804.83</v>
      </c>
    </row>
    <row r="248" spans="1:20">
      <c r="A248" s="5" t="s">
        <v>1672</v>
      </c>
      <c r="B248" s="5" t="s">
        <v>1673</v>
      </c>
      <c r="C248" s="5" t="s">
        <v>1715</v>
      </c>
      <c r="D248" s="5" t="s">
        <v>325</v>
      </c>
      <c r="E248" s="5" t="s">
        <v>1732</v>
      </c>
      <c r="F248" s="5" t="s">
        <v>1733</v>
      </c>
      <c r="G248" s="5" t="s">
        <v>1732</v>
      </c>
      <c r="H248" s="5" t="s">
        <v>1733</v>
      </c>
      <c r="I248" s="5" t="s">
        <v>1871</v>
      </c>
      <c r="J248" s="5" t="s">
        <v>1678</v>
      </c>
      <c r="K248" s="5" t="s">
        <v>1872</v>
      </c>
      <c r="L248" s="5" t="s">
        <v>1680</v>
      </c>
      <c r="M248" s="5" t="s">
        <v>1681</v>
      </c>
      <c r="N248" s="5" t="s">
        <v>1682</v>
      </c>
      <c r="O248" s="5" t="s">
        <v>1680</v>
      </c>
      <c r="P248" s="6">
        <v>103046.08</v>
      </c>
      <c r="Q248" s="6">
        <v>503574</v>
      </c>
      <c r="R248" s="6">
        <v>0</v>
      </c>
      <c r="S248" s="6">
        <v>332723.09000000003</v>
      </c>
      <c r="T248" s="6">
        <v>67804.83</v>
      </c>
    </row>
    <row r="249" spans="1:20">
      <c r="A249" s="5" t="s">
        <v>1672</v>
      </c>
      <c r="B249" s="5" t="s">
        <v>1673</v>
      </c>
      <c r="C249" s="5" t="s">
        <v>1715</v>
      </c>
      <c r="D249" s="5" t="s">
        <v>325</v>
      </c>
      <c r="E249" s="5" t="s">
        <v>1734</v>
      </c>
      <c r="F249" s="5" t="s">
        <v>1735</v>
      </c>
      <c r="G249" s="5" t="s">
        <v>1734</v>
      </c>
      <c r="H249" s="5" t="s">
        <v>1735</v>
      </c>
      <c r="I249" s="5" t="s">
        <v>1871</v>
      </c>
      <c r="J249" s="5" t="s">
        <v>1678</v>
      </c>
      <c r="K249" s="5" t="s">
        <v>1872</v>
      </c>
      <c r="L249" s="5" t="s">
        <v>1680</v>
      </c>
      <c r="M249" s="5" t="s">
        <v>1681</v>
      </c>
      <c r="N249" s="5" t="s">
        <v>1682</v>
      </c>
      <c r="O249" s="5" t="s">
        <v>1680</v>
      </c>
      <c r="P249" s="6">
        <v>103046.08</v>
      </c>
      <c r="Q249" s="6">
        <v>503574</v>
      </c>
      <c r="R249" s="6">
        <v>0</v>
      </c>
      <c r="S249" s="6">
        <v>332723.09000000003</v>
      </c>
      <c r="T249" s="6">
        <v>67804.83</v>
      </c>
    </row>
    <row r="250" spans="1:20">
      <c r="A250" s="5" t="s">
        <v>1672</v>
      </c>
      <c r="B250" s="5" t="s">
        <v>1673</v>
      </c>
      <c r="C250" s="5" t="s">
        <v>1715</v>
      </c>
      <c r="D250" s="5" t="s">
        <v>325</v>
      </c>
      <c r="E250" s="5" t="s">
        <v>1736</v>
      </c>
      <c r="F250" s="5" t="s">
        <v>1737</v>
      </c>
      <c r="G250" s="5" t="s">
        <v>1738</v>
      </c>
      <c r="H250" s="5" t="s">
        <v>1739</v>
      </c>
      <c r="I250" s="5" t="s">
        <v>1871</v>
      </c>
      <c r="J250" s="5" t="s">
        <v>1678</v>
      </c>
      <c r="K250" s="5" t="s">
        <v>1872</v>
      </c>
      <c r="L250" s="5" t="s">
        <v>1680</v>
      </c>
      <c r="M250" s="5" t="s">
        <v>1681</v>
      </c>
      <c r="N250" s="5" t="s">
        <v>1682</v>
      </c>
      <c r="O250" s="5" t="s">
        <v>1680</v>
      </c>
      <c r="P250" s="6">
        <v>103046.08</v>
      </c>
      <c r="Q250" s="6">
        <v>503574</v>
      </c>
      <c r="R250" s="6">
        <v>0</v>
      </c>
      <c r="S250" s="6">
        <v>332723.09000000003</v>
      </c>
      <c r="T250" s="6">
        <v>67804.83</v>
      </c>
    </row>
    <row r="251" spans="1:20">
      <c r="A251" s="5" t="s">
        <v>1672</v>
      </c>
      <c r="B251" s="5" t="s">
        <v>1673</v>
      </c>
      <c r="C251" s="5" t="s">
        <v>1715</v>
      </c>
      <c r="D251" s="5" t="s">
        <v>325</v>
      </c>
      <c r="E251" s="5" t="s">
        <v>1740</v>
      </c>
      <c r="F251" s="5" t="s">
        <v>1741</v>
      </c>
      <c r="G251" s="5" t="s">
        <v>1740</v>
      </c>
      <c r="H251" s="5" t="s">
        <v>1741</v>
      </c>
      <c r="I251" s="5" t="s">
        <v>1871</v>
      </c>
      <c r="J251" s="5" t="s">
        <v>1678</v>
      </c>
      <c r="K251" s="5" t="s">
        <v>1872</v>
      </c>
      <c r="L251" s="5" t="s">
        <v>1680</v>
      </c>
      <c r="M251" s="5" t="s">
        <v>1681</v>
      </c>
      <c r="N251" s="5" t="s">
        <v>1682</v>
      </c>
      <c r="O251" s="5" t="s">
        <v>1680</v>
      </c>
      <c r="P251" s="6">
        <v>103046.08</v>
      </c>
      <c r="Q251" s="6">
        <v>503574</v>
      </c>
      <c r="R251" s="6">
        <v>0</v>
      </c>
      <c r="S251" s="6">
        <v>332723.09000000003</v>
      </c>
      <c r="T251" s="6">
        <v>67804.83</v>
      </c>
    </row>
    <row r="252" spans="1:20">
      <c r="A252" s="5" t="s">
        <v>1672</v>
      </c>
      <c r="B252" s="5" t="s">
        <v>1673</v>
      </c>
      <c r="C252" s="5" t="s">
        <v>1715</v>
      </c>
      <c r="D252" s="5" t="s">
        <v>325</v>
      </c>
      <c r="E252" s="5" t="s">
        <v>1742</v>
      </c>
      <c r="F252" s="5" t="s">
        <v>1743</v>
      </c>
      <c r="G252" s="5" t="s">
        <v>1744</v>
      </c>
      <c r="H252" s="5" t="s">
        <v>1745</v>
      </c>
      <c r="I252" s="5" t="s">
        <v>1871</v>
      </c>
      <c r="J252" s="5" t="s">
        <v>1678</v>
      </c>
      <c r="K252" s="5" t="s">
        <v>1872</v>
      </c>
      <c r="L252" s="5" t="s">
        <v>1680</v>
      </c>
      <c r="M252" s="5" t="s">
        <v>1681</v>
      </c>
      <c r="N252" s="5" t="s">
        <v>1682</v>
      </c>
      <c r="O252" s="5" t="s">
        <v>1680</v>
      </c>
      <c r="P252" s="6">
        <v>103046.08</v>
      </c>
      <c r="Q252" s="6">
        <v>503574</v>
      </c>
      <c r="R252" s="6">
        <v>0</v>
      </c>
      <c r="S252" s="6">
        <v>332723.09000000003</v>
      </c>
      <c r="T252" s="6">
        <v>67804.83</v>
      </c>
    </row>
    <row r="253" spans="1:20">
      <c r="A253" s="5" t="s">
        <v>1672</v>
      </c>
      <c r="B253" s="5" t="s">
        <v>1673</v>
      </c>
      <c r="C253" s="5" t="s">
        <v>1715</v>
      </c>
      <c r="D253" s="5" t="s">
        <v>325</v>
      </c>
      <c r="E253" s="5" t="s">
        <v>1746</v>
      </c>
      <c r="F253" s="5" t="s">
        <v>1747</v>
      </c>
      <c r="G253" s="5" t="s">
        <v>1748</v>
      </c>
      <c r="H253" s="5" t="s">
        <v>1749</v>
      </c>
      <c r="I253" s="5" t="s">
        <v>1871</v>
      </c>
      <c r="J253" s="5" t="s">
        <v>1678</v>
      </c>
      <c r="K253" s="5" t="s">
        <v>1872</v>
      </c>
      <c r="L253" s="5" t="s">
        <v>1680</v>
      </c>
      <c r="M253" s="5" t="s">
        <v>1681</v>
      </c>
      <c r="N253" s="5" t="s">
        <v>1682</v>
      </c>
      <c r="O253" s="5" t="s">
        <v>1680</v>
      </c>
      <c r="P253" s="6">
        <v>103046.08</v>
      </c>
      <c r="Q253" s="6">
        <v>503574</v>
      </c>
      <c r="R253" s="6">
        <v>0</v>
      </c>
      <c r="S253" s="6">
        <v>332723.09000000003</v>
      </c>
      <c r="T253" s="6">
        <v>67804.83</v>
      </c>
    </row>
    <row r="254" spans="1:20">
      <c r="A254" s="5" t="s">
        <v>1672</v>
      </c>
      <c r="B254" s="5" t="s">
        <v>1673</v>
      </c>
      <c r="C254" s="5" t="s">
        <v>1715</v>
      </c>
      <c r="D254" s="5" t="s">
        <v>325</v>
      </c>
      <c r="E254" s="5" t="s">
        <v>1750</v>
      </c>
      <c r="F254" s="5" t="s">
        <v>1751</v>
      </c>
      <c r="G254" s="5" t="s">
        <v>1752</v>
      </c>
      <c r="H254" s="5" t="s">
        <v>1753</v>
      </c>
      <c r="I254" s="5" t="s">
        <v>1871</v>
      </c>
      <c r="J254" s="5" t="s">
        <v>1678</v>
      </c>
      <c r="K254" s="5" t="s">
        <v>1872</v>
      </c>
      <c r="L254" s="5" t="s">
        <v>1680</v>
      </c>
      <c r="M254" s="5" t="s">
        <v>1681</v>
      </c>
      <c r="N254" s="5" t="s">
        <v>1682</v>
      </c>
      <c r="O254" s="5" t="s">
        <v>1680</v>
      </c>
      <c r="P254" s="6">
        <v>103046.08</v>
      </c>
      <c r="Q254" s="6">
        <v>503574</v>
      </c>
      <c r="R254" s="6">
        <v>0</v>
      </c>
      <c r="S254" s="6">
        <v>332723.09000000003</v>
      </c>
      <c r="T254" s="6">
        <v>67804.83</v>
      </c>
    </row>
    <row r="255" spans="1:20">
      <c r="A255" s="5" t="s">
        <v>1672</v>
      </c>
      <c r="B255" s="5" t="s">
        <v>1673</v>
      </c>
      <c r="C255" s="5" t="s">
        <v>1715</v>
      </c>
      <c r="D255" s="5" t="s">
        <v>325</v>
      </c>
      <c r="E255" s="5" t="s">
        <v>1754</v>
      </c>
      <c r="F255" s="5" t="s">
        <v>1755</v>
      </c>
      <c r="G255" s="5" t="s">
        <v>1756</v>
      </c>
      <c r="H255" s="5" t="s">
        <v>1757</v>
      </c>
      <c r="I255" s="5" t="s">
        <v>1871</v>
      </c>
      <c r="J255" s="5" t="s">
        <v>1678</v>
      </c>
      <c r="K255" s="5" t="s">
        <v>1872</v>
      </c>
      <c r="L255" s="5" t="s">
        <v>1680</v>
      </c>
      <c r="M255" s="5" t="s">
        <v>1681</v>
      </c>
      <c r="N255" s="5" t="s">
        <v>1682</v>
      </c>
      <c r="O255" s="5" t="s">
        <v>1680</v>
      </c>
      <c r="P255" s="6">
        <v>103046.08</v>
      </c>
      <c r="Q255" s="6">
        <v>503574</v>
      </c>
      <c r="R255" s="6">
        <v>0</v>
      </c>
      <c r="S255" s="6">
        <v>332723.09000000003</v>
      </c>
      <c r="T255" s="6">
        <v>67804.83</v>
      </c>
    </row>
    <row r="256" spans="1:20">
      <c r="A256" s="5" t="s">
        <v>1672</v>
      </c>
      <c r="B256" s="5" t="s">
        <v>1673</v>
      </c>
      <c r="C256" s="5" t="s">
        <v>1715</v>
      </c>
      <c r="D256" s="5" t="s">
        <v>325</v>
      </c>
      <c r="E256" s="5" t="s">
        <v>1758</v>
      </c>
      <c r="F256" s="5" t="s">
        <v>1759</v>
      </c>
      <c r="G256" s="5" t="s">
        <v>1758</v>
      </c>
      <c r="H256" s="5" t="s">
        <v>1759</v>
      </c>
      <c r="I256" s="5" t="s">
        <v>1871</v>
      </c>
      <c r="J256" s="5" t="s">
        <v>1678</v>
      </c>
      <c r="K256" s="5" t="s">
        <v>1872</v>
      </c>
      <c r="L256" s="5" t="s">
        <v>1680</v>
      </c>
      <c r="M256" s="5" t="s">
        <v>1681</v>
      </c>
      <c r="N256" s="5" t="s">
        <v>1682</v>
      </c>
      <c r="O256" s="5" t="s">
        <v>1680</v>
      </c>
      <c r="P256" s="6">
        <v>103046.08</v>
      </c>
      <c r="Q256" s="6">
        <v>503574</v>
      </c>
      <c r="R256" s="6">
        <v>0</v>
      </c>
      <c r="S256" s="6">
        <v>332723.09000000003</v>
      </c>
      <c r="T256" s="6">
        <v>67804.83</v>
      </c>
    </row>
    <row r="257" spans="1:20">
      <c r="A257" s="5" t="s">
        <v>1672</v>
      </c>
      <c r="B257" s="5" t="s">
        <v>1673</v>
      </c>
      <c r="C257" s="5" t="s">
        <v>1715</v>
      </c>
      <c r="D257" s="5" t="s">
        <v>325</v>
      </c>
      <c r="E257" s="5" t="s">
        <v>1760</v>
      </c>
      <c r="F257" s="5" t="s">
        <v>1761</v>
      </c>
      <c r="G257" s="5" t="s">
        <v>1760</v>
      </c>
      <c r="H257" s="5" t="s">
        <v>1761</v>
      </c>
      <c r="I257" s="5" t="s">
        <v>1871</v>
      </c>
      <c r="J257" s="5" t="s">
        <v>1678</v>
      </c>
      <c r="K257" s="5" t="s">
        <v>1872</v>
      </c>
      <c r="L257" s="5" t="s">
        <v>1680</v>
      </c>
      <c r="M257" s="5" t="s">
        <v>1681</v>
      </c>
      <c r="N257" s="5" t="s">
        <v>1682</v>
      </c>
      <c r="O257" s="5" t="s">
        <v>1680</v>
      </c>
      <c r="P257" s="6">
        <v>103046.08</v>
      </c>
      <c r="Q257" s="6">
        <v>503574</v>
      </c>
      <c r="R257" s="6">
        <v>0</v>
      </c>
      <c r="S257" s="6">
        <v>332723.09000000003</v>
      </c>
      <c r="T257" s="6">
        <v>67804.83</v>
      </c>
    </row>
    <row r="258" spans="1:20">
      <c r="A258" s="5" t="s">
        <v>1672</v>
      </c>
      <c r="B258" s="5" t="s">
        <v>1673</v>
      </c>
      <c r="C258" s="5" t="s">
        <v>1715</v>
      </c>
      <c r="D258" s="5" t="s">
        <v>325</v>
      </c>
      <c r="E258" s="5" t="s">
        <v>1762</v>
      </c>
      <c r="F258" s="5" t="s">
        <v>1763</v>
      </c>
      <c r="G258" s="5" t="s">
        <v>1764</v>
      </c>
      <c r="H258" s="5" t="s">
        <v>1765</v>
      </c>
      <c r="I258" s="5" t="s">
        <v>1871</v>
      </c>
      <c r="J258" s="5" t="s">
        <v>1678</v>
      </c>
      <c r="K258" s="5" t="s">
        <v>1872</v>
      </c>
      <c r="L258" s="5" t="s">
        <v>1680</v>
      </c>
      <c r="M258" s="5" t="s">
        <v>1681</v>
      </c>
      <c r="N258" s="5" t="s">
        <v>1682</v>
      </c>
      <c r="O258" s="5" t="s">
        <v>1680</v>
      </c>
      <c r="P258" s="6">
        <v>103046.08</v>
      </c>
      <c r="Q258" s="6">
        <v>503574</v>
      </c>
      <c r="R258" s="6">
        <v>0</v>
      </c>
      <c r="S258" s="6">
        <v>332723.09000000003</v>
      </c>
      <c r="T258" s="6">
        <v>67804.83</v>
      </c>
    </row>
    <row r="259" spans="1:20">
      <c r="A259" s="5" t="s">
        <v>1672</v>
      </c>
      <c r="B259" s="5" t="s">
        <v>1673</v>
      </c>
      <c r="C259" s="5" t="s">
        <v>1715</v>
      </c>
      <c r="D259" s="5" t="s">
        <v>325</v>
      </c>
      <c r="E259" s="5" t="s">
        <v>1766</v>
      </c>
      <c r="F259" s="5" t="s">
        <v>1767</v>
      </c>
      <c r="G259" s="5" t="s">
        <v>1766</v>
      </c>
      <c r="H259" s="5" t="s">
        <v>1767</v>
      </c>
      <c r="I259" s="5" t="s">
        <v>1871</v>
      </c>
      <c r="J259" s="5" t="s">
        <v>1678</v>
      </c>
      <c r="K259" s="5" t="s">
        <v>1872</v>
      </c>
      <c r="L259" s="5" t="s">
        <v>1680</v>
      </c>
      <c r="M259" s="5" t="s">
        <v>1681</v>
      </c>
      <c r="N259" s="5" t="s">
        <v>1682</v>
      </c>
      <c r="O259" s="5" t="s">
        <v>1680</v>
      </c>
      <c r="P259" s="6">
        <v>103046.08</v>
      </c>
      <c r="Q259" s="6">
        <v>503574</v>
      </c>
      <c r="R259" s="6">
        <v>0</v>
      </c>
      <c r="S259" s="6">
        <v>332723.09000000003</v>
      </c>
      <c r="T259" s="6">
        <v>67804.83</v>
      </c>
    </row>
    <row r="260" spans="1:20">
      <c r="A260" s="5" t="s">
        <v>1672</v>
      </c>
      <c r="B260" s="5" t="s">
        <v>1673</v>
      </c>
      <c r="C260" s="5" t="s">
        <v>1715</v>
      </c>
      <c r="D260" s="5" t="s">
        <v>325</v>
      </c>
      <c r="E260" s="5" t="s">
        <v>1768</v>
      </c>
      <c r="F260" s="5" t="s">
        <v>1769</v>
      </c>
      <c r="G260" s="5" t="s">
        <v>1770</v>
      </c>
      <c r="H260" s="5" t="s">
        <v>1771</v>
      </c>
      <c r="I260" s="5" t="s">
        <v>1871</v>
      </c>
      <c r="J260" s="5" t="s">
        <v>1678</v>
      </c>
      <c r="K260" s="5" t="s">
        <v>1872</v>
      </c>
      <c r="L260" s="5" t="s">
        <v>1680</v>
      </c>
      <c r="M260" s="5" t="s">
        <v>1681</v>
      </c>
      <c r="N260" s="5" t="s">
        <v>1682</v>
      </c>
      <c r="O260" s="5" t="s">
        <v>1680</v>
      </c>
      <c r="P260" s="6">
        <v>103046.08</v>
      </c>
      <c r="Q260" s="6">
        <v>503574</v>
      </c>
      <c r="R260" s="6">
        <v>0</v>
      </c>
      <c r="S260" s="6">
        <v>332723.09000000003</v>
      </c>
      <c r="T260" s="6">
        <v>67804.83</v>
      </c>
    </row>
    <row r="261" spans="1:20">
      <c r="A261" s="5" t="s">
        <v>1672</v>
      </c>
      <c r="B261" s="5" t="s">
        <v>1673</v>
      </c>
      <c r="C261" s="5" t="s">
        <v>1715</v>
      </c>
      <c r="D261" s="5" t="s">
        <v>325</v>
      </c>
      <c r="E261" s="5" t="s">
        <v>1772</v>
      </c>
      <c r="F261" s="5" t="s">
        <v>1773</v>
      </c>
      <c r="G261" s="5" t="s">
        <v>1774</v>
      </c>
      <c r="H261" s="5" t="s">
        <v>1775</v>
      </c>
      <c r="I261" s="5" t="s">
        <v>1871</v>
      </c>
      <c r="J261" s="5" t="s">
        <v>1678</v>
      </c>
      <c r="K261" s="5" t="s">
        <v>1872</v>
      </c>
      <c r="L261" s="5" t="s">
        <v>1680</v>
      </c>
      <c r="M261" s="5" t="s">
        <v>1681</v>
      </c>
      <c r="N261" s="5" t="s">
        <v>1682</v>
      </c>
      <c r="O261" s="5" t="s">
        <v>1680</v>
      </c>
      <c r="P261" s="6">
        <v>103046.08</v>
      </c>
      <c r="Q261" s="6">
        <v>503574</v>
      </c>
      <c r="R261" s="6">
        <v>0</v>
      </c>
      <c r="S261" s="6">
        <v>332723.09000000003</v>
      </c>
      <c r="T261" s="6">
        <v>67804.83</v>
      </c>
    </row>
    <row r="262" spans="1:20">
      <c r="A262" s="5" t="s">
        <v>1672</v>
      </c>
      <c r="B262" s="5" t="s">
        <v>1673</v>
      </c>
      <c r="C262" s="5" t="s">
        <v>1715</v>
      </c>
      <c r="D262" s="5" t="s">
        <v>325</v>
      </c>
      <c r="E262" s="5" t="s">
        <v>1776</v>
      </c>
      <c r="F262" s="5" t="s">
        <v>1777</v>
      </c>
      <c r="G262" s="5" t="s">
        <v>1778</v>
      </c>
      <c r="H262" s="5" t="s">
        <v>1779</v>
      </c>
      <c r="I262" s="5" t="s">
        <v>1871</v>
      </c>
      <c r="J262" s="5" t="s">
        <v>1678</v>
      </c>
      <c r="K262" s="5" t="s">
        <v>1872</v>
      </c>
      <c r="L262" s="5" t="s">
        <v>1680</v>
      </c>
      <c r="M262" s="5" t="s">
        <v>1681</v>
      </c>
      <c r="N262" s="5" t="s">
        <v>1682</v>
      </c>
      <c r="O262" s="5" t="s">
        <v>1680</v>
      </c>
      <c r="P262" s="6">
        <v>103046.08</v>
      </c>
      <c r="Q262" s="6">
        <v>503574</v>
      </c>
      <c r="R262" s="6">
        <v>0</v>
      </c>
      <c r="S262" s="6">
        <v>332723.09000000003</v>
      </c>
      <c r="T262" s="6">
        <v>67804.83</v>
      </c>
    </row>
    <row r="263" spans="1:20">
      <c r="A263" s="5" t="s">
        <v>1672</v>
      </c>
      <c r="B263" s="5" t="s">
        <v>1673</v>
      </c>
      <c r="C263" s="5" t="s">
        <v>1715</v>
      </c>
      <c r="D263" s="5" t="s">
        <v>325</v>
      </c>
      <c r="E263" s="5" t="s">
        <v>1780</v>
      </c>
      <c r="F263" s="5" t="s">
        <v>1781</v>
      </c>
      <c r="G263" s="5" t="s">
        <v>1780</v>
      </c>
      <c r="H263" s="5" t="s">
        <v>1781</v>
      </c>
      <c r="I263" s="5" t="s">
        <v>1871</v>
      </c>
      <c r="J263" s="5" t="s">
        <v>1678</v>
      </c>
      <c r="K263" s="5" t="s">
        <v>1872</v>
      </c>
      <c r="L263" s="5" t="s">
        <v>1680</v>
      </c>
      <c r="M263" s="5" t="s">
        <v>1681</v>
      </c>
      <c r="N263" s="5" t="s">
        <v>1682</v>
      </c>
      <c r="O263" s="5" t="s">
        <v>1680</v>
      </c>
      <c r="P263" s="6">
        <v>103046.08</v>
      </c>
      <c r="Q263" s="6">
        <v>503574</v>
      </c>
      <c r="R263" s="6">
        <v>0</v>
      </c>
      <c r="S263" s="6">
        <v>332723.09000000003</v>
      </c>
      <c r="T263" s="6">
        <v>67804.83</v>
      </c>
    </row>
    <row r="264" spans="1:20">
      <c r="A264" s="5" t="s">
        <v>1672</v>
      </c>
      <c r="B264" s="5" t="s">
        <v>1673</v>
      </c>
      <c r="C264" s="5" t="s">
        <v>1715</v>
      </c>
      <c r="D264" s="5" t="s">
        <v>325</v>
      </c>
      <c r="E264" s="5" t="s">
        <v>1782</v>
      </c>
      <c r="F264" s="5" t="s">
        <v>1783</v>
      </c>
      <c r="G264" s="5" t="s">
        <v>1782</v>
      </c>
      <c r="H264" s="5" t="s">
        <v>1783</v>
      </c>
      <c r="I264" s="5" t="s">
        <v>1871</v>
      </c>
      <c r="J264" s="5" t="s">
        <v>1678</v>
      </c>
      <c r="K264" s="5" t="s">
        <v>1872</v>
      </c>
      <c r="L264" s="5" t="s">
        <v>1680</v>
      </c>
      <c r="M264" s="5" t="s">
        <v>1681</v>
      </c>
      <c r="N264" s="5" t="s">
        <v>1682</v>
      </c>
      <c r="O264" s="5" t="s">
        <v>1680</v>
      </c>
      <c r="P264" s="6">
        <v>103046.08</v>
      </c>
      <c r="Q264" s="6">
        <v>503574</v>
      </c>
      <c r="R264" s="6">
        <v>0</v>
      </c>
      <c r="S264" s="6">
        <v>332723.09000000003</v>
      </c>
      <c r="T264" s="6">
        <v>67804.83</v>
      </c>
    </row>
    <row r="265" spans="1:20">
      <c r="A265" s="5" t="s">
        <v>1672</v>
      </c>
      <c r="B265" s="5" t="s">
        <v>1673</v>
      </c>
      <c r="C265" s="5" t="s">
        <v>1715</v>
      </c>
      <c r="D265" s="5" t="s">
        <v>325</v>
      </c>
      <c r="E265" s="5" t="s">
        <v>1784</v>
      </c>
      <c r="F265" s="5" t="s">
        <v>1785</v>
      </c>
      <c r="G265" s="5" t="s">
        <v>1786</v>
      </c>
      <c r="H265" s="5" t="s">
        <v>1787</v>
      </c>
      <c r="I265" s="5" t="s">
        <v>1871</v>
      </c>
      <c r="J265" s="5" t="s">
        <v>1678</v>
      </c>
      <c r="K265" s="5" t="s">
        <v>1872</v>
      </c>
      <c r="L265" s="5" t="s">
        <v>1680</v>
      </c>
      <c r="M265" s="5" t="s">
        <v>1681</v>
      </c>
      <c r="N265" s="5" t="s">
        <v>1682</v>
      </c>
      <c r="O265" s="5" t="s">
        <v>1680</v>
      </c>
      <c r="P265" s="6">
        <v>103046.08</v>
      </c>
      <c r="Q265" s="6">
        <v>503574</v>
      </c>
      <c r="R265" s="6">
        <v>0</v>
      </c>
      <c r="S265" s="6">
        <v>332723.09000000003</v>
      </c>
      <c r="T265" s="6">
        <v>67804.83</v>
      </c>
    </row>
    <row r="266" spans="1:20">
      <c r="A266" s="5" t="s">
        <v>1672</v>
      </c>
      <c r="B266" s="5" t="s">
        <v>1673</v>
      </c>
      <c r="C266" s="5" t="s">
        <v>1715</v>
      </c>
      <c r="D266" s="5" t="s">
        <v>325</v>
      </c>
      <c r="E266" s="5" t="s">
        <v>1788</v>
      </c>
      <c r="F266" s="5" t="s">
        <v>1789</v>
      </c>
      <c r="G266" s="5" t="s">
        <v>1790</v>
      </c>
      <c r="H266" s="5" t="s">
        <v>1791</v>
      </c>
      <c r="I266" s="5" t="s">
        <v>1871</v>
      </c>
      <c r="J266" s="5" t="s">
        <v>1678</v>
      </c>
      <c r="K266" s="5" t="s">
        <v>1872</v>
      </c>
      <c r="L266" s="5" t="s">
        <v>1680</v>
      </c>
      <c r="M266" s="5" t="s">
        <v>1681</v>
      </c>
      <c r="N266" s="5" t="s">
        <v>1682</v>
      </c>
      <c r="O266" s="5" t="s">
        <v>1680</v>
      </c>
      <c r="P266" s="6">
        <v>103046.08</v>
      </c>
      <c r="Q266" s="6">
        <v>503574</v>
      </c>
      <c r="R266" s="6">
        <v>0</v>
      </c>
      <c r="S266" s="6">
        <v>332723.09000000003</v>
      </c>
      <c r="T266" s="6">
        <v>67804.83</v>
      </c>
    </row>
    <row r="267" spans="1:20">
      <c r="A267" s="5" t="s">
        <v>1672</v>
      </c>
      <c r="B267" s="5" t="s">
        <v>1673</v>
      </c>
      <c r="C267" s="5" t="s">
        <v>1715</v>
      </c>
      <c r="D267" s="5" t="s">
        <v>325</v>
      </c>
      <c r="E267" s="5" t="s">
        <v>1792</v>
      </c>
      <c r="F267" s="5" t="s">
        <v>1793</v>
      </c>
      <c r="G267" s="5" t="s">
        <v>1794</v>
      </c>
      <c r="H267" s="5" t="s">
        <v>1795</v>
      </c>
      <c r="I267" s="5" t="s">
        <v>1871</v>
      </c>
      <c r="J267" s="5" t="s">
        <v>1678</v>
      </c>
      <c r="K267" s="5" t="s">
        <v>1872</v>
      </c>
      <c r="L267" s="5" t="s">
        <v>1680</v>
      </c>
      <c r="M267" s="5" t="s">
        <v>1681</v>
      </c>
      <c r="N267" s="5" t="s">
        <v>1682</v>
      </c>
      <c r="O267" s="5" t="s">
        <v>1680</v>
      </c>
      <c r="P267" s="6">
        <v>103046.08</v>
      </c>
      <c r="Q267" s="6">
        <v>503574</v>
      </c>
      <c r="R267" s="6">
        <v>0</v>
      </c>
      <c r="S267" s="6">
        <v>332723.09000000003</v>
      </c>
      <c r="T267" s="6">
        <v>67804.83</v>
      </c>
    </row>
    <row r="268" spans="1:20">
      <c r="A268" s="5" t="s">
        <v>1672</v>
      </c>
      <c r="B268" s="5" t="s">
        <v>1673</v>
      </c>
      <c r="C268" s="5" t="s">
        <v>1715</v>
      </c>
      <c r="D268" s="5" t="s">
        <v>325</v>
      </c>
      <c r="E268" s="5" t="s">
        <v>1796</v>
      </c>
      <c r="F268" s="5" t="s">
        <v>1797</v>
      </c>
      <c r="G268" s="5" t="s">
        <v>1796</v>
      </c>
      <c r="H268" s="5" t="s">
        <v>1797</v>
      </c>
      <c r="I268" s="5" t="s">
        <v>1871</v>
      </c>
      <c r="J268" s="5" t="s">
        <v>1678</v>
      </c>
      <c r="K268" s="5" t="s">
        <v>1872</v>
      </c>
      <c r="L268" s="5" t="s">
        <v>1680</v>
      </c>
      <c r="M268" s="5" t="s">
        <v>1681</v>
      </c>
      <c r="N268" s="5" t="s">
        <v>1682</v>
      </c>
      <c r="O268" s="5" t="s">
        <v>1680</v>
      </c>
      <c r="P268" s="6">
        <v>103046.08</v>
      </c>
      <c r="Q268" s="6">
        <v>503574</v>
      </c>
      <c r="R268" s="6">
        <v>0</v>
      </c>
      <c r="S268" s="6">
        <v>332723.09000000003</v>
      </c>
      <c r="T268" s="6">
        <v>67804.83</v>
      </c>
    </row>
    <row r="269" spans="1:20">
      <c r="A269" s="5" t="s">
        <v>1672</v>
      </c>
      <c r="B269" s="5" t="s">
        <v>1673</v>
      </c>
      <c r="C269" s="5" t="s">
        <v>1715</v>
      </c>
      <c r="D269" s="5" t="s">
        <v>325</v>
      </c>
      <c r="E269" s="5" t="s">
        <v>1798</v>
      </c>
      <c r="F269" s="5" t="s">
        <v>1799</v>
      </c>
      <c r="G269" s="5" t="s">
        <v>1798</v>
      </c>
      <c r="H269" s="5" t="s">
        <v>1799</v>
      </c>
      <c r="I269" s="5" t="s">
        <v>1871</v>
      </c>
      <c r="J269" s="5" t="s">
        <v>1678</v>
      </c>
      <c r="K269" s="5" t="s">
        <v>1872</v>
      </c>
      <c r="L269" s="5" t="s">
        <v>1680</v>
      </c>
      <c r="M269" s="5" t="s">
        <v>1681</v>
      </c>
      <c r="N269" s="5" t="s">
        <v>1682</v>
      </c>
      <c r="O269" s="5" t="s">
        <v>1680</v>
      </c>
      <c r="P269" s="6">
        <v>103046.08</v>
      </c>
      <c r="Q269" s="6">
        <v>503574</v>
      </c>
      <c r="R269" s="6">
        <v>0</v>
      </c>
      <c r="S269" s="6">
        <v>332723.09000000003</v>
      </c>
      <c r="T269" s="6">
        <v>67804.83</v>
      </c>
    </row>
    <row r="270" spans="1:20">
      <c r="A270" s="5" t="s">
        <v>1672</v>
      </c>
      <c r="B270" s="5" t="s">
        <v>1673</v>
      </c>
      <c r="C270" s="5" t="s">
        <v>1715</v>
      </c>
      <c r="D270" s="5" t="s">
        <v>325</v>
      </c>
      <c r="E270" s="5" t="s">
        <v>1800</v>
      </c>
      <c r="F270" s="5" t="s">
        <v>1801</v>
      </c>
      <c r="G270" s="5" t="s">
        <v>1800</v>
      </c>
      <c r="H270" s="5" t="s">
        <v>1801</v>
      </c>
      <c r="I270" s="5" t="s">
        <v>1871</v>
      </c>
      <c r="J270" s="5" t="s">
        <v>1678</v>
      </c>
      <c r="K270" s="5" t="s">
        <v>1872</v>
      </c>
      <c r="L270" s="5" t="s">
        <v>1680</v>
      </c>
      <c r="M270" s="5" t="s">
        <v>1681</v>
      </c>
      <c r="N270" s="5" t="s">
        <v>1682</v>
      </c>
      <c r="O270" s="5" t="s">
        <v>1680</v>
      </c>
      <c r="P270" s="6">
        <v>103046.08</v>
      </c>
      <c r="Q270" s="6">
        <v>503574</v>
      </c>
      <c r="R270" s="6">
        <v>0</v>
      </c>
      <c r="S270" s="6">
        <v>332723.09000000003</v>
      </c>
      <c r="T270" s="6">
        <v>67804.83</v>
      </c>
    </row>
    <row r="271" spans="1:20">
      <c r="A271" s="5" t="s">
        <v>1672</v>
      </c>
      <c r="B271" s="5" t="s">
        <v>1673</v>
      </c>
      <c r="C271" s="5" t="s">
        <v>1715</v>
      </c>
      <c r="D271" s="5" t="s">
        <v>325</v>
      </c>
      <c r="E271" s="5" t="s">
        <v>1802</v>
      </c>
      <c r="F271" s="5" t="s">
        <v>1803</v>
      </c>
      <c r="G271" s="5" t="s">
        <v>1804</v>
      </c>
      <c r="H271" s="5" t="s">
        <v>1805</v>
      </c>
      <c r="I271" s="5" t="s">
        <v>1871</v>
      </c>
      <c r="J271" s="5" t="s">
        <v>1678</v>
      </c>
      <c r="K271" s="5" t="s">
        <v>1872</v>
      </c>
      <c r="L271" s="5" t="s">
        <v>1680</v>
      </c>
      <c r="M271" s="5" t="s">
        <v>1681</v>
      </c>
      <c r="N271" s="5" t="s">
        <v>1682</v>
      </c>
      <c r="O271" s="5" t="s">
        <v>1680</v>
      </c>
      <c r="P271" s="6">
        <v>103046.08</v>
      </c>
      <c r="Q271" s="6">
        <v>503574</v>
      </c>
      <c r="R271" s="6">
        <v>0</v>
      </c>
      <c r="S271" s="6">
        <v>332723.09000000003</v>
      </c>
      <c r="T271" s="6">
        <v>67804.83</v>
      </c>
    </row>
    <row r="272" spans="1:20">
      <c r="A272" s="5" t="s">
        <v>1672</v>
      </c>
      <c r="B272" s="5" t="s">
        <v>1673</v>
      </c>
      <c r="C272" s="5" t="s">
        <v>1715</v>
      </c>
      <c r="D272" s="5" t="s">
        <v>325</v>
      </c>
      <c r="E272" s="5" t="s">
        <v>1806</v>
      </c>
      <c r="F272" s="5" t="s">
        <v>1807</v>
      </c>
      <c r="G272" s="5" t="s">
        <v>1808</v>
      </c>
      <c r="H272" s="5" t="s">
        <v>1809</v>
      </c>
      <c r="I272" s="5" t="s">
        <v>1871</v>
      </c>
      <c r="J272" s="5" t="s">
        <v>1678</v>
      </c>
      <c r="K272" s="5" t="s">
        <v>1872</v>
      </c>
      <c r="L272" s="5" t="s">
        <v>1680</v>
      </c>
      <c r="M272" s="5" t="s">
        <v>1681</v>
      </c>
      <c r="N272" s="5" t="s">
        <v>1682</v>
      </c>
      <c r="O272" s="5" t="s">
        <v>1680</v>
      </c>
      <c r="P272" s="6">
        <v>103046.08</v>
      </c>
      <c r="Q272" s="6">
        <v>503574</v>
      </c>
      <c r="R272" s="6">
        <v>0</v>
      </c>
      <c r="S272" s="6">
        <v>332723.09000000003</v>
      </c>
      <c r="T272" s="6">
        <v>67804.83</v>
      </c>
    </row>
    <row r="273" spans="1:20">
      <c r="A273" s="5" t="s">
        <v>1672</v>
      </c>
      <c r="B273" s="5" t="s">
        <v>1673</v>
      </c>
      <c r="C273" s="5" t="s">
        <v>1715</v>
      </c>
      <c r="D273" s="5" t="s">
        <v>325</v>
      </c>
      <c r="E273" s="5" t="s">
        <v>1810</v>
      </c>
      <c r="F273" s="5" t="s">
        <v>1811</v>
      </c>
      <c r="G273" s="5" t="s">
        <v>1812</v>
      </c>
      <c r="H273" s="5" t="s">
        <v>1813</v>
      </c>
      <c r="I273" s="5" t="s">
        <v>1871</v>
      </c>
      <c r="J273" s="5" t="s">
        <v>1678</v>
      </c>
      <c r="K273" s="5" t="s">
        <v>1872</v>
      </c>
      <c r="L273" s="5" t="s">
        <v>1680</v>
      </c>
      <c r="M273" s="5" t="s">
        <v>1681</v>
      </c>
      <c r="N273" s="5" t="s">
        <v>1682</v>
      </c>
      <c r="O273" s="5" t="s">
        <v>1680</v>
      </c>
      <c r="P273" s="6">
        <v>103046.08</v>
      </c>
      <c r="Q273" s="6">
        <v>503574</v>
      </c>
      <c r="R273" s="6">
        <v>0</v>
      </c>
      <c r="S273" s="6">
        <v>332723.09000000003</v>
      </c>
      <c r="T273" s="6">
        <v>67804.83</v>
      </c>
    </row>
    <row r="274" spans="1:20">
      <c r="A274" s="5" t="s">
        <v>1672</v>
      </c>
      <c r="B274" s="5" t="s">
        <v>1673</v>
      </c>
      <c r="C274" s="5" t="s">
        <v>1715</v>
      </c>
      <c r="D274" s="5" t="s">
        <v>325</v>
      </c>
      <c r="E274" s="5" t="s">
        <v>1814</v>
      </c>
      <c r="F274" s="5" t="s">
        <v>1815</v>
      </c>
      <c r="G274" s="5" t="s">
        <v>1814</v>
      </c>
      <c r="H274" s="5" t="s">
        <v>1815</v>
      </c>
      <c r="I274" s="5" t="s">
        <v>1871</v>
      </c>
      <c r="J274" s="5" t="s">
        <v>1678</v>
      </c>
      <c r="K274" s="5" t="s">
        <v>1872</v>
      </c>
      <c r="L274" s="5" t="s">
        <v>1680</v>
      </c>
      <c r="M274" s="5" t="s">
        <v>1681</v>
      </c>
      <c r="N274" s="5" t="s">
        <v>1682</v>
      </c>
      <c r="O274" s="5" t="s">
        <v>1680</v>
      </c>
      <c r="P274" s="6">
        <v>103046.08</v>
      </c>
      <c r="Q274" s="6">
        <v>503574</v>
      </c>
      <c r="R274" s="6">
        <v>0</v>
      </c>
      <c r="S274" s="6">
        <v>332723.09000000003</v>
      </c>
      <c r="T274" s="6">
        <v>67804.83</v>
      </c>
    </row>
    <row r="275" spans="1:20">
      <c r="A275" s="5" t="s">
        <v>1672</v>
      </c>
      <c r="B275" s="5" t="s">
        <v>1673</v>
      </c>
      <c r="C275" s="5" t="s">
        <v>1715</v>
      </c>
      <c r="D275" s="5" t="s">
        <v>325</v>
      </c>
      <c r="E275" s="5" t="s">
        <v>1816</v>
      </c>
      <c r="F275" s="5" t="s">
        <v>1817</v>
      </c>
      <c r="G275" s="5" t="s">
        <v>1818</v>
      </c>
      <c r="H275" s="5" t="s">
        <v>1819</v>
      </c>
      <c r="I275" s="5" t="s">
        <v>1871</v>
      </c>
      <c r="J275" s="5" t="s">
        <v>1678</v>
      </c>
      <c r="K275" s="5" t="s">
        <v>1872</v>
      </c>
      <c r="L275" s="5" t="s">
        <v>1680</v>
      </c>
      <c r="M275" s="5" t="s">
        <v>1681</v>
      </c>
      <c r="N275" s="5" t="s">
        <v>1682</v>
      </c>
      <c r="O275" s="5" t="s">
        <v>1680</v>
      </c>
      <c r="P275" s="6">
        <v>103046.08</v>
      </c>
      <c r="Q275" s="6">
        <v>503574</v>
      </c>
      <c r="R275" s="6">
        <v>0</v>
      </c>
      <c r="S275" s="6">
        <v>332723.09000000003</v>
      </c>
      <c r="T275" s="6">
        <v>67804.83</v>
      </c>
    </row>
    <row r="276" spans="1:20">
      <c r="A276" s="5" t="s">
        <v>1672</v>
      </c>
      <c r="B276" s="5" t="s">
        <v>1673</v>
      </c>
      <c r="C276" s="5" t="s">
        <v>1715</v>
      </c>
      <c r="D276" s="5" t="s">
        <v>325</v>
      </c>
      <c r="E276" s="5" t="s">
        <v>1820</v>
      </c>
      <c r="F276" s="5" t="s">
        <v>1821</v>
      </c>
      <c r="G276" s="5" t="s">
        <v>1822</v>
      </c>
      <c r="H276" s="5" t="s">
        <v>1823</v>
      </c>
      <c r="I276" s="5" t="s">
        <v>1871</v>
      </c>
      <c r="J276" s="5" t="s">
        <v>1678</v>
      </c>
      <c r="K276" s="5" t="s">
        <v>1872</v>
      </c>
      <c r="L276" s="5" t="s">
        <v>1680</v>
      </c>
      <c r="M276" s="5" t="s">
        <v>1681</v>
      </c>
      <c r="N276" s="5" t="s">
        <v>1682</v>
      </c>
      <c r="O276" s="5" t="s">
        <v>1680</v>
      </c>
      <c r="P276" s="6">
        <v>103046.08</v>
      </c>
      <c r="Q276" s="6">
        <v>503574</v>
      </c>
      <c r="R276" s="6">
        <v>0</v>
      </c>
      <c r="S276" s="6">
        <v>332723.09000000003</v>
      </c>
      <c r="T276" s="6">
        <v>67804.83</v>
      </c>
    </row>
    <row r="277" spans="1:20">
      <c r="A277" s="5" t="s">
        <v>1672</v>
      </c>
      <c r="B277" s="5" t="s">
        <v>1673</v>
      </c>
      <c r="C277" s="5" t="s">
        <v>1715</v>
      </c>
      <c r="D277" s="5" t="s">
        <v>325</v>
      </c>
      <c r="E277" s="5" t="s">
        <v>1824</v>
      </c>
      <c r="F277" s="5" t="s">
        <v>1825</v>
      </c>
      <c r="G277" s="5" t="s">
        <v>1826</v>
      </c>
      <c r="H277" s="5" t="s">
        <v>1827</v>
      </c>
      <c r="I277" s="5" t="s">
        <v>1871</v>
      </c>
      <c r="J277" s="5" t="s">
        <v>1678</v>
      </c>
      <c r="K277" s="5" t="s">
        <v>1872</v>
      </c>
      <c r="L277" s="5" t="s">
        <v>1680</v>
      </c>
      <c r="M277" s="5" t="s">
        <v>1681</v>
      </c>
      <c r="N277" s="5" t="s">
        <v>1682</v>
      </c>
      <c r="O277" s="5" t="s">
        <v>1680</v>
      </c>
      <c r="P277" s="6">
        <v>103046.08</v>
      </c>
      <c r="Q277" s="6">
        <v>503574</v>
      </c>
      <c r="R277" s="6">
        <v>0</v>
      </c>
      <c r="S277" s="6">
        <v>332723.09000000003</v>
      </c>
      <c r="T277" s="6">
        <v>67804.83</v>
      </c>
    </row>
    <row r="278" spans="1:20">
      <c r="A278" s="5" t="s">
        <v>1672</v>
      </c>
      <c r="B278" s="5" t="s">
        <v>1673</v>
      </c>
      <c r="C278" s="5" t="s">
        <v>1715</v>
      </c>
      <c r="D278" s="5" t="s">
        <v>325</v>
      </c>
      <c r="E278" s="5" t="s">
        <v>1828</v>
      </c>
      <c r="F278" s="5" t="s">
        <v>1829</v>
      </c>
      <c r="G278" s="5" t="s">
        <v>1828</v>
      </c>
      <c r="H278" s="5" t="s">
        <v>1829</v>
      </c>
      <c r="I278" s="5" t="s">
        <v>1871</v>
      </c>
      <c r="J278" s="5" t="s">
        <v>1678</v>
      </c>
      <c r="K278" s="5" t="s">
        <v>1872</v>
      </c>
      <c r="L278" s="5" t="s">
        <v>1680</v>
      </c>
      <c r="M278" s="5" t="s">
        <v>1681</v>
      </c>
      <c r="N278" s="5" t="s">
        <v>1682</v>
      </c>
      <c r="O278" s="5" t="s">
        <v>1680</v>
      </c>
      <c r="P278" s="6">
        <v>103046.08</v>
      </c>
      <c r="Q278" s="6">
        <v>503574</v>
      </c>
      <c r="R278" s="6">
        <v>0</v>
      </c>
      <c r="S278" s="6">
        <v>332723.09000000003</v>
      </c>
      <c r="T278" s="6">
        <v>67804.83</v>
      </c>
    </row>
    <row r="279" spans="1:20">
      <c r="A279" s="5" t="s">
        <v>1672</v>
      </c>
      <c r="B279" s="5" t="s">
        <v>1673</v>
      </c>
      <c r="C279" s="5" t="s">
        <v>1715</v>
      </c>
      <c r="D279" s="5" t="s">
        <v>325</v>
      </c>
      <c r="E279" s="5" t="s">
        <v>1830</v>
      </c>
      <c r="F279" s="5" t="s">
        <v>1831</v>
      </c>
      <c r="G279" s="5" t="s">
        <v>1830</v>
      </c>
      <c r="H279" s="5" t="s">
        <v>1831</v>
      </c>
      <c r="I279" s="5" t="s">
        <v>1871</v>
      </c>
      <c r="J279" s="5" t="s">
        <v>1678</v>
      </c>
      <c r="K279" s="5" t="s">
        <v>1872</v>
      </c>
      <c r="L279" s="5" t="s">
        <v>1680</v>
      </c>
      <c r="M279" s="5" t="s">
        <v>1681</v>
      </c>
      <c r="N279" s="5" t="s">
        <v>1682</v>
      </c>
      <c r="O279" s="5" t="s">
        <v>1680</v>
      </c>
      <c r="P279" s="6">
        <v>103046.08</v>
      </c>
      <c r="Q279" s="6">
        <v>503574</v>
      </c>
      <c r="R279" s="6">
        <v>0</v>
      </c>
      <c r="S279" s="6">
        <v>332723.09000000003</v>
      </c>
      <c r="T279" s="6">
        <v>67804.83</v>
      </c>
    </row>
    <row r="280" spans="1:20">
      <c r="A280" s="5" t="s">
        <v>1672</v>
      </c>
      <c r="B280" s="5" t="s">
        <v>1673</v>
      </c>
      <c r="C280" s="5" t="s">
        <v>1715</v>
      </c>
      <c r="D280" s="5" t="s">
        <v>325</v>
      </c>
      <c r="E280" s="5" t="s">
        <v>1832</v>
      </c>
      <c r="F280" s="5" t="s">
        <v>1833</v>
      </c>
      <c r="G280" s="5" t="s">
        <v>1834</v>
      </c>
      <c r="H280" s="5" t="s">
        <v>1835</v>
      </c>
      <c r="I280" s="5" t="s">
        <v>1871</v>
      </c>
      <c r="J280" s="5" t="s">
        <v>1678</v>
      </c>
      <c r="K280" s="5" t="s">
        <v>1872</v>
      </c>
      <c r="L280" s="5" t="s">
        <v>1680</v>
      </c>
      <c r="M280" s="5" t="s">
        <v>1681</v>
      </c>
      <c r="N280" s="5" t="s">
        <v>1682</v>
      </c>
      <c r="O280" s="5" t="s">
        <v>1680</v>
      </c>
      <c r="P280" s="6">
        <v>103046.08</v>
      </c>
      <c r="Q280" s="6">
        <v>503574</v>
      </c>
      <c r="R280" s="6">
        <v>0</v>
      </c>
      <c r="S280" s="6">
        <v>332723.09000000003</v>
      </c>
      <c r="T280" s="6">
        <v>67804.83</v>
      </c>
    </row>
    <row r="281" spans="1:20">
      <c r="A281" s="5" t="s">
        <v>1672</v>
      </c>
      <c r="B281" s="5" t="s">
        <v>1673</v>
      </c>
      <c r="C281" s="5" t="s">
        <v>1715</v>
      </c>
      <c r="D281" s="5" t="s">
        <v>325</v>
      </c>
      <c r="E281" s="5" t="s">
        <v>1836</v>
      </c>
      <c r="F281" s="5" t="s">
        <v>1837</v>
      </c>
      <c r="G281" s="5" t="s">
        <v>1836</v>
      </c>
      <c r="H281" s="5" t="s">
        <v>1837</v>
      </c>
      <c r="I281" s="5" t="s">
        <v>1871</v>
      </c>
      <c r="J281" s="5" t="s">
        <v>1678</v>
      </c>
      <c r="K281" s="5" t="s">
        <v>1872</v>
      </c>
      <c r="L281" s="5" t="s">
        <v>1680</v>
      </c>
      <c r="M281" s="5" t="s">
        <v>1681</v>
      </c>
      <c r="N281" s="5" t="s">
        <v>1682</v>
      </c>
      <c r="O281" s="5" t="s">
        <v>1680</v>
      </c>
      <c r="P281" s="6">
        <v>103046.08</v>
      </c>
      <c r="Q281" s="6">
        <v>503574</v>
      </c>
      <c r="R281" s="6">
        <v>0</v>
      </c>
      <c r="S281" s="6">
        <v>332723.09000000003</v>
      </c>
      <c r="T281" s="6">
        <v>67804.83</v>
      </c>
    </row>
    <row r="282" spans="1:20">
      <c r="A282" s="5" t="s">
        <v>1672</v>
      </c>
      <c r="B282" s="5" t="s">
        <v>1673</v>
      </c>
      <c r="C282" s="5" t="s">
        <v>1715</v>
      </c>
      <c r="D282" s="5" t="s">
        <v>325</v>
      </c>
      <c r="E282" s="5" t="s">
        <v>1838</v>
      </c>
      <c r="F282" s="5" t="s">
        <v>1839</v>
      </c>
      <c r="G282" s="5" t="s">
        <v>1840</v>
      </c>
      <c r="H282" s="5" t="s">
        <v>1841</v>
      </c>
      <c r="I282" s="5" t="s">
        <v>1871</v>
      </c>
      <c r="J282" s="5" t="s">
        <v>1678</v>
      </c>
      <c r="K282" s="5" t="s">
        <v>1872</v>
      </c>
      <c r="L282" s="5" t="s">
        <v>1680</v>
      </c>
      <c r="M282" s="5" t="s">
        <v>1681</v>
      </c>
      <c r="N282" s="5" t="s">
        <v>1682</v>
      </c>
      <c r="O282" s="5" t="s">
        <v>1680</v>
      </c>
      <c r="P282" s="6">
        <v>103046.08</v>
      </c>
      <c r="Q282" s="6">
        <v>503574</v>
      </c>
      <c r="R282" s="6">
        <v>0</v>
      </c>
      <c r="S282" s="6">
        <v>332723.09000000003</v>
      </c>
      <c r="T282" s="6">
        <v>67804.83</v>
      </c>
    </row>
    <row r="283" spans="1:20">
      <c r="A283" s="5" t="s">
        <v>1672</v>
      </c>
      <c r="B283" s="5" t="s">
        <v>1673</v>
      </c>
      <c r="C283" s="5" t="s">
        <v>1674</v>
      </c>
      <c r="D283" s="5" t="s">
        <v>2</v>
      </c>
      <c r="E283" s="5" t="s">
        <v>1675</v>
      </c>
      <c r="F283" s="5" t="s">
        <v>1676</v>
      </c>
      <c r="G283" s="5" t="s">
        <v>1675</v>
      </c>
      <c r="H283" s="5" t="s">
        <v>1676</v>
      </c>
      <c r="I283" s="5" t="s">
        <v>1873</v>
      </c>
      <c r="J283" s="5" t="s">
        <v>1678</v>
      </c>
      <c r="K283" s="5" t="s">
        <v>1872</v>
      </c>
      <c r="L283" s="5" t="s">
        <v>1680</v>
      </c>
      <c r="M283" s="5" t="s">
        <v>1681</v>
      </c>
      <c r="N283" s="5" t="s">
        <v>1682</v>
      </c>
      <c r="O283" s="5" t="s">
        <v>1680</v>
      </c>
      <c r="P283" s="6">
        <v>16463.04</v>
      </c>
      <c r="Q283" s="6">
        <v>24025</v>
      </c>
      <c r="R283" s="6">
        <v>5678.33</v>
      </c>
      <c r="S283" s="6">
        <v>1883.63</v>
      </c>
      <c r="T283" s="6">
        <v>0</v>
      </c>
    </row>
    <row r="284" spans="1:20">
      <c r="A284" s="5" t="s">
        <v>1672</v>
      </c>
      <c r="B284" s="5" t="s">
        <v>1673</v>
      </c>
      <c r="C284" s="5" t="s">
        <v>1674</v>
      </c>
      <c r="D284" s="5" t="s">
        <v>2</v>
      </c>
      <c r="E284" s="5" t="s">
        <v>1683</v>
      </c>
      <c r="F284" s="5" t="s">
        <v>1684</v>
      </c>
      <c r="G284" s="5" t="s">
        <v>1683</v>
      </c>
      <c r="H284" s="5" t="s">
        <v>1684</v>
      </c>
      <c r="I284" s="5" t="s">
        <v>1873</v>
      </c>
      <c r="J284" s="5" t="s">
        <v>1678</v>
      </c>
      <c r="K284" s="5" t="s">
        <v>1872</v>
      </c>
      <c r="L284" s="5" t="s">
        <v>1680</v>
      </c>
      <c r="M284" s="5" t="s">
        <v>1681</v>
      </c>
      <c r="N284" s="5" t="s">
        <v>1682</v>
      </c>
      <c r="O284" s="5" t="s">
        <v>1680</v>
      </c>
      <c r="P284" s="6">
        <v>16463.04</v>
      </c>
      <c r="Q284" s="6">
        <v>24025</v>
      </c>
      <c r="R284" s="6">
        <v>5678.33</v>
      </c>
      <c r="S284" s="6">
        <v>1883.63</v>
      </c>
      <c r="T284" s="6">
        <v>0</v>
      </c>
    </row>
    <row r="285" spans="1:20">
      <c r="A285" s="5" t="s">
        <v>1672</v>
      </c>
      <c r="B285" s="5" t="s">
        <v>1673</v>
      </c>
      <c r="C285" s="5" t="s">
        <v>1674</v>
      </c>
      <c r="D285" s="5" t="s">
        <v>2</v>
      </c>
      <c r="E285" s="5" t="s">
        <v>1685</v>
      </c>
      <c r="F285" s="5" t="s">
        <v>1686</v>
      </c>
      <c r="G285" s="5" t="s">
        <v>1685</v>
      </c>
      <c r="H285" s="5" t="s">
        <v>1686</v>
      </c>
      <c r="I285" s="5" t="s">
        <v>1873</v>
      </c>
      <c r="J285" s="5" t="s">
        <v>1678</v>
      </c>
      <c r="K285" s="5" t="s">
        <v>1872</v>
      </c>
      <c r="L285" s="5" t="s">
        <v>1680</v>
      </c>
      <c r="M285" s="5" t="s">
        <v>1681</v>
      </c>
      <c r="N285" s="5" t="s">
        <v>1682</v>
      </c>
      <c r="O285" s="5" t="s">
        <v>1680</v>
      </c>
      <c r="P285" s="6">
        <v>16463.04</v>
      </c>
      <c r="Q285" s="6">
        <v>24025</v>
      </c>
      <c r="R285" s="6">
        <v>5678.33</v>
      </c>
      <c r="S285" s="6">
        <v>1883.63</v>
      </c>
      <c r="T285" s="6">
        <v>0</v>
      </c>
    </row>
    <row r="286" spans="1:20">
      <c r="A286" s="5" t="s">
        <v>1672</v>
      </c>
      <c r="B286" s="5" t="s">
        <v>1673</v>
      </c>
      <c r="C286" s="5" t="s">
        <v>1674</v>
      </c>
      <c r="D286" s="5" t="s">
        <v>2</v>
      </c>
      <c r="E286" s="5" t="s">
        <v>1687</v>
      </c>
      <c r="F286" s="5" t="s">
        <v>1688</v>
      </c>
      <c r="G286" s="5" t="s">
        <v>1687</v>
      </c>
      <c r="H286" s="5" t="s">
        <v>1688</v>
      </c>
      <c r="I286" s="5" t="s">
        <v>1873</v>
      </c>
      <c r="J286" s="5" t="s">
        <v>1678</v>
      </c>
      <c r="K286" s="5" t="s">
        <v>1872</v>
      </c>
      <c r="L286" s="5" t="s">
        <v>1680</v>
      </c>
      <c r="M286" s="5" t="s">
        <v>1681</v>
      </c>
      <c r="N286" s="5" t="s">
        <v>1682</v>
      </c>
      <c r="O286" s="5" t="s">
        <v>1680</v>
      </c>
      <c r="P286" s="6">
        <v>16463.04</v>
      </c>
      <c r="Q286" s="6">
        <v>24025</v>
      </c>
      <c r="R286" s="6">
        <v>5678.33</v>
      </c>
      <c r="S286" s="6">
        <v>1883.63</v>
      </c>
      <c r="T286" s="6">
        <v>0</v>
      </c>
    </row>
    <row r="287" spans="1:20">
      <c r="A287" s="5" t="s">
        <v>1672</v>
      </c>
      <c r="B287" s="5" t="s">
        <v>1673</v>
      </c>
      <c r="C287" s="5" t="s">
        <v>1674</v>
      </c>
      <c r="D287" s="5" t="s">
        <v>2</v>
      </c>
      <c r="E287" s="5" t="s">
        <v>1689</v>
      </c>
      <c r="F287" s="5" t="s">
        <v>1690</v>
      </c>
      <c r="G287" s="5" t="s">
        <v>1689</v>
      </c>
      <c r="H287" s="5" t="s">
        <v>1690</v>
      </c>
      <c r="I287" s="5" t="s">
        <v>1873</v>
      </c>
      <c r="J287" s="5" t="s">
        <v>1678</v>
      </c>
      <c r="K287" s="5" t="s">
        <v>1872</v>
      </c>
      <c r="L287" s="5" t="s">
        <v>1680</v>
      </c>
      <c r="M287" s="5" t="s">
        <v>1681</v>
      </c>
      <c r="N287" s="5" t="s">
        <v>1682</v>
      </c>
      <c r="O287" s="5" t="s">
        <v>1680</v>
      </c>
      <c r="P287" s="6">
        <v>16463.04</v>
      </c>
      <c r="Q287" s="6">
        <v>24025</v>
      </c>
      <c r="R287" s="6">
        <v>5678.33</v>
      </c>
      <c r="S287" s="6">
        <v>1883.63</v>
      </c>
      <c r="T287" s="6">
        <v>0</v>
      </c>
    </row>
    <row r="288" spans="1:20">
      <c r="A288" s="5" t="s">
        <v>1672</v>
      </c>
      <c r="B288" s="5" t="s">
        <v>1673</v>
      </c>
      <c r="C288" s="5" t="s">
        <v>1674</v>
      </c>
      <c r="D288" s="5" t="s">
        <v>2</v>
      </c>
      <c r="E288" s="5" t="s">
        <v>1691</v>
      </c>
      <c r="F288" s="5" t="s">
        <v>1692</v>
      </c>
      <c r="G288" s="5" t="s">
        <v>1693</v>
      </c>
      <c r="H288" s="5" t="s">
        <v>1694</v>
      </c>
      <c r="I288" s="5" t="s">
        <v>1873</v>
      </c>
      <c r="J288" s="5" t="s">
        <v>1678</v>
      </c>
      <c r="K288" s="5" t="s">
        <v>1872</v>
      </c>
      <c r="L288" s="5" t="s">
        <v>1680</v>
      </c>
      <c r="M288" s="5" t="s">
        <v>1681</v>
      </c>
      <c r="N288" s="5" t="s">
        <v>1682</v>
      </c>
      <c r="O288" s="5" t="s">
        <v>1680</v>
      </c>
      <c r="P288" s="6">
        <v>16463.04</v>
      </c>
      <c r="Q288" s="6">
        <v>24025</v>
      </c>
      <c r="R288" s="6">
        <v>5678.33</v>
      </c>
      <c r="S288" s="6">
        <v>1883.63</v>
      </c>
      <c r="T288" s="6">
        <v>0</v>
      </c>
    </row>
    <row r="289" spans="1:20">
      <c r="A289" s="5" t="s">
        <v>1672</v>
      </c>
      <c r="B289" s="5" t="s">
        <v>1673</v>
      </c>
      <c r="C289" s="5" t="s">
        <v>1674</v>
      </c>
      <c r="D289" s="5" t="s">
        <v>2</v>
      </c>
      <c r="E289" s="5" t="s">
        <v>1695</v>
      </c>
      <c r="F289" s="5" t="s">
        <v>1696</v>
      </c>
      <c r="G289" s="5" t="s">
        <v>1697</v>
      </c>
      <c r="H289" s="5" t="s">
        <v>1698</v>
      </c>
      <c r="I289" s="5" t="s">
        <v>1873</v>
      </c>
      <c r="J289" s="5" t="s">
        <v>1678</v>
      </c>
      <c r="K289" s="5" t="s">
        <v>1872</v>
      </c>
      <c r="L289" s="5" t="s">
        <v>1680</v>
      </c>
      <c r="M289" s="5" t="s">
        <v>1681</v>
      </c>
      <c r="N289" s="5" t="s">
        <v>1682</v>
      </c>
      <c r="O289" s="5" t="s">
        <v>1680</v>
      </c>
      <c r="P289" s="6">
        <v>16463.04</v>
      </c>
      <c r="Q289" s="6">
        <v>24025</v>
      </c>
      <c r="R289" s="6">
        <v>5678.33</v>
      </c>
      <c r="S289" s="6">
        <v>1883.63</v>
      </c>
      <c r="T289" s="6">
        <v>0</v>
      </c>
    </row>
    <row r="290" spans="1:20">
      <c r="A290" s="5" t="s">
        <v>1672</v>
      </c>
      <c r="B290" s="5" t="s">
        <v>1673</v>
      </c>
      <c r="C290" s="5" t="s">
        <v>1674</v>
      </c>
      <c r="D290" s="5" t="s">
        <v>2</v>
      </c>
      <c r="E290" s="5" t="s">
        <v>1699</v>
      </c>
      <c r="F290" s="5" t="s">
        <v>1700</v>
      </c>
      <c r="G290" s="5" t="s">
        <v>1699</v>
      </c>
      <c r="H290" s="5" t="s">
        <v>1700</v>
      </c>
      <c r="I290" s="5" t="s">
        <v>1873</v>
      </c>
      <c r="J290" s="5" t="s">
        <v>1678</v>
      </c>
      <c r="K290" s="5" t="s">
        <v>1872</v>
      </c>
      <c r="L290" s="5" t="s">
        <v>1680</v>
      </c>
      <c r="M290" s="5" t="s">
        <v>1681</v>
      </c>
      <c r="N290" s="5" t="s">
        <v>1682</v>
      </c>
      <c r="O290" s="5" t="s">
        <v>1680</v>
      </c>
      <c r="P290" s="6">
        <v>16463.04</v>
      </c>
      <c r="Q290" s="6">
        <v>24025</v>
      </c>
      <c r="R290" s="6">
        <v>5678.33</v>
      </c>
      <c r="S290" s="6">
        <v>1883.63</v>
      </c>
      <c r="T290" s="6">
        <v>0</v>
      </c>
    </row>
    <row r="291" spans="1:20">
      <c r="A291" s="5" t="s">
        <v>1672</v>
      </c>
      <c r="B291" s="5" t="s">
        <v>1673</v>
      </c>
      <c r="C291" s="5" t="s">
        <v>1674</v>
      </c>
      <c r="D291" s="5" t="s">
        <v>2</v>
      </c>
      <c r="E291" s="5" t="s">
        <v>1701</v>
      </c>
      <c r="F291" s="5" t="s">
        <v>1702</v>
      </c>
      <c r="G291" s="5" t="s">
        <v>1701</v>
      </c>
      <c r="H291" s="5" t="s">
        <v>1702</v>
      </c>
      <c r="I291" s="5" t="s">
        <v>1873</v>
      </c>
      <c r="J291" s="5" t="s">
        <v>1678</v>
      </c>
      <c r="K291" s="5" t="s">
        <v>1872</v>
      </c>
      <c r="L291" s="5" t="s">
        <v>1680</v>
      </c>
      <c r="M291" s="5" t="s">
        <v>1681</v>
      </c>
      <c r="N291" s="5" t="s">
        <v>1682</v>
      </c>
      <c r="O291" s="5" t="s">
        <v>1680</v>
      </c>
      <c r="P291" s="6">
        <v>16463.04</v>
      </c>
      <c r="Q291" s="6">
        <v>24025</v>
      </c>
      <c r="R291" s="6">
        <v>5678.33</v>
      </c>
      <c r="S291" s="6">
        <v>1883.63</v>
      </c>
      <c r="T291" s="6">
        <v>0</v>
      </c>
    </row>
    <row r="292" spans="1:20">
      <c r="A292" s="5" t="s">
        <v>1672</v>
      </c>
      <c r="B292" s="5" t="s">
        <v>1673</v>
      </c>
      <c r="C292" s="5" t="s">
        <v>1674</v>
      </c>
      <c r="D292" s="5" t="s">
        <v>2</v>
      </c>
      <c r="E292" s="5" t="s">
        <v>1703</v>
      </c>
      <c r="F292" s="5" t="s">
        <v>1704</v>
      </c>
      <c r="G292" s="5" t="s">
        <v>1705</v>
      </c>
      <c r="H292" s="5" t="s">
        <v>1706</v>
      </c>
      <c r="I292" s="5" t="s">
        <v>1873</v>
      </c>
      <c r="J292" s="5" t="s">
        <v>1678</v>
      </c>
      <c r="K292" s="5" t="s">
        <v>1872</v>
      </c>
      <c r="L292" s="5" t="s">
        <v>1680</v>
      </c>
      <c r="M292" s="5" t="s">
        <v>1681</v>
      </c>
      <c r="N292" s="5" t="s">
        <v>1682</v>
      </c>
      <c r="O292" s="5" t="s">
        <v>1680</v>
      </c>
      <c r="P292" s="6">
        <v>16463.04</v>
      </c>
      <c r="Q292" s="6">
        <v>24025</v>
      </c>
      <c r="R292" s="6">
        <v>5678.33</v>
      </c>
      <c r="S292" s="6">
        <v>1883.63</v>
      </c>
      <c r="T292" s="6">
        <v>0</v>
      </c>
    </row>
    <row r="293" spans="1:20">
      <c r="A293" s="5" t="s">
        <v>1672</v>
      </c>
      <c r="B293" s="5" t="s">
        <v>1673</v>
      </c>
      <c r="C293" s="5" t="s">
        <v>1674</v>
      </c>
      <c r="D293" s="5" t="s">
        <v>2</v>
      </c>
      <c r="E293" s="5" t="s">
        <v>1707</v>
      </c>
      <c r="F293" s="5" t="s">
        <v>1708</v>
      </c>
      <c r="G293" s="5" t="s">
        <v>1707</v>
      </c>
      <c r="H293" s="5" t="s">
        <v>1708</v>
      </c>
      <c r="I293" s="5" t="s">
        <v>1873</v>
      </c>
      <c r="J293" s="5" t="s">
        <v>1678</v>
      </c>
      <c r="K293" s="5" t="s">
        <v>1872</v>
      </c>
      <c r="L293" s="5" t="s">
        <v>1680</v>
      </c>
      <c r="M293" s="5" t="s">
        <v>1681</v>
      </c>
      <c r="N293" s="5" t="s">
        <v>1682</v>
      </c>
      <c r="O293" s="5" t="s">
        <v>1680</v>
      </c>
      <c r="P293" s="6">
        <v>16463.04</v>
      </c>
      <c r="Q293" s="6">
        <v>24025</v>
      </c>
      <c r="R293" s="6">
        <v>5678.33</v>
      </c>
      <c r="S293" s="6">
        <v>1883.63</v>
      </c>
      <c r="T293" s="6">
        <v>0</v>
      </c>
    </row>
    <row r="294" spans="1:20">
      <c r="A294" s="5" t="s">
        <v>1672</v>
      </c>
      <c r="B294" s="5" t="s">
        <v>1673</v>
      </c>
      <c r="C294" s="5" t="s">
        <v>1674</v>
      </c>
      <c r="D294" s="5" t="s">
        <v>2</v>
      </c>
      <c r="E294" s="5" t="s">
        <v>1709</v>
      </c>
      <c r="F294" s="5" t="s">
        <v>1710</v>
      </c>
      <c r="G294" s="5" t="s">
        <v>1709</v>
      </c>
      <c r="H294" s="5" t="s">
        <v>1710</v>
      </c>
      <c r="I294" s="5" t="s">
        <v>1873</v>
      </c>
      <c r="J294" s="5" t="s">
        <v>1678</v>
      </c>
      <c r="K294" s="5" t="s">
        <v>1872</v>
      </c>
      <c r="L294" s="5" t="s">
        <v>1680</v>
      </c>
      <c r="M294" s="5" t="s">
        <v>1681</v>
      </c>
      <c r="N294" s="5" t="s">
        <v>1682</v>
      </c>
      <c r="O294" s="5" t="s">
        <v>1680</v>
      </c>
      <c r="P294" s="6">
        <v>16463.04</v>
      </c>
      <c r="Q294" s="6">
        <v>24025</v>
      </c>
      <c r="R294" s="6">
        <v>5678.33</v>
      </c>
      <c r="S294" s="6">
        <v>1883.63</v>
      </c>
      <c r="T294" s="6">
        <v>0</v>
      </c>
    </row>
    <row r="295" spans="1:20">
      <c r="A295" s="5" t="s">
        <v>1672</v>
      </c>
      <c r="B295" s="5" t="s">
        <v>1673</v>
      </c>
      <c r="C295" s="5" t="s">
        <v>1674</v>
      </c>
      <c r="D295" s="5" t="s">
        <v>2</v>
      </c>
      <c r="E295" s="5" t="s">
        <v>1711</v>
      </c>
      <c r="F295" s="5" t="s">
        <v>1712</v>
      </c>
      <c r="G295" s="5" t="s">
        <v>1711</v>
      </c>
      <c r="H295" s="5" t="s">
        <v>1712</v>
      </c>
      <c r="I295" s="5" t="s">
        <v>1873</v>
      </c>
      <c r="J295" s="5" t="s">
        <v>1678</v>
      </c>
      <c r="K295" s="5" t="s">
        <v>1872</v>
      </c>
      <c r="L295" s="5" t="s">
        <v>1680</v>
      </c>
      <c r="M295" s="5" t="s">
        <v>1681</v>
      </c>
      <c r="N295" s="5" t="s">
        <v>1682</v>
      </c>
      <c r="O295" s="5" t="s">
        <v>1680</v>
      </c>
      <c r="P295" s="6">
        <v>16463.04</v>
      </c>
      <c r="Q295" s="6">
        <v>24025</v>
      </c>
      <c r="R295" s="6">
        <v>5678.33</v>
      </c>
      <c r="S295" s="6">
        <v>1883.63</v>
      </c>
      <c r="T295" s="6">
        <v>0</v>
      </c>
    </row>
    <row r="296" spans="1:20">
      <c r="A296" s="5" t="s">
        <v>1672</v>
      </c>
      <c r="B296" s="5" t="s">
        <v>1673</v>
      </c>
      <c r="C296" s="5" t="s">
        <v>1674</v>
      </c>
      <c r="D296" s="5" t="s">
        <v>2</v>
      </c>
      <c r="E296" s="5" t="s">
        <v>1713</v>
      </c>
      <c r="F296" s="5" t="s">
        <v>1714</v>
      </c>
      <c r="G296" s="5" t="s">
        <v>1713</v>
      </c>
      <c r="H296" s="5" t="s">
        <v>1714</v>
      </c>
      <c r="I296" s="5" t="s">
        <v>1873</v>
      </c>
      <c r="J296" s="5" t="s">
        <v>1678</v>
      </c>
      <c r="K296" s="5" t="s">
        <v>1872</v>
      </c>
      <c r="L296" s="5" t="s">
        <v>1680</v>
      </c>
      <c r="M296" s="5" t="s">
        <v>1681</v>
      </c>
      <c r="N296" s="5" t="s">
        <v>1682</v>
      </c>
      <c r="O296" s="5" t="s">
        <v>1680</v>
      </c>
      <c r="P296" s="6">
        <v>16463.04</v>
      </c>
      <c r="Q296" s="6">
        <v>24025</v>
      </c>
      <c r="R296" s="6">
        <v>5678.33</v>
      </c>
      <c r="S296" s="6">
        <v>1883.63</v>
      </c>
      <c r="T296" s="6">
        <v>0</v>
      </c>
    </row>
    <row r="297" spans="1:20">
      <c r="A297" s="5" t="s">
        <v>1672</v>
      </c>
      <c r="B297" s="5" t="s">
        <v>1673</v>
      </c>
      <c r="C297" s="5" t="s">
        <v>1864</v>
      </c>
      <c r="D297" s="5" t="s">
        <v>309</v>
      </c>
      <c r="E297" s="5" t="s">
        <v>1865</v>
      </c>
      <c r="F297" s="5" t="s">
        <v>1866</v>
      </c>
      <c r="G297" s="5" t="s">
        <v>1865</v>
      </c>
      <c r="H297" s="5" t="s">
        <v>1866</v>
      </c>
      <c r="I297" s="5" t="s">
        <v>1873</v>
      </c>
      <c r="J297" s="5" t="s">
        <v>1678</v>
      </c>
      <c r="K297" s="5" t="s">
        <v>1872</v>
      </c>
      <c r="L297" s="5" t="s">
        <v>1680</v>
      </c>
      <c r="M297" s="5" t="s">
        <v>1681</v>
      </c>
      <c r="N297" s="5" t="s">
        <v>1682</v>
      </c>
      <c r="O297" s="5" t="s">
        <v>1680</v>
      </c>
      <c r="P297" s="6">
        <v>600</v>
      </c>
      <c r="Q297" s="6">
        <v>600</v>
      </c>
      <c r="R297" s="6">
        <v>0</v>
      </c>
      <c r="S297" s="6">
        <v>0</v>
      </c>
      <c r="T297" s="6">
        <v>0</v>
      </c>
    </row>
    <row r="298" spans="1:20">
      <c r="A298" s="5" t="s">
        <v>1672</v>
      </c>
      <c r="B298" s="5" t="s">
        <v>1673</v>
      </c>
      <c r="C298" s="5" t="s">
        <v>1864</v>
      </c>
      <c r="D298" s="5" t="s">
        <v>309</v>
      </c>
      <c r="E298" s="5" t="s">
        <v>1867</v>
      </c>
      <c r="F298" s="5" t="s">
        <v>1868</v>
      </c>
      <c r="G298" s="5" t="s">
        <v>1867</v>
      </c>
      <c r="H298" s="5" t="s">
        <v>1868</v>
      </c>
      <c r="I298" s="5" t="s">
        <v>1873</v>
      </c>
      <c r="J298" s="5" t="s">
        <v>1678</v>
      </c>
      <c r="K298" s="5" t="s">
        <v>1872</v>
      </c>
      <c r="L298" s="5" t="s">
        <v>1680</v>
      </c>
      <c r="M298" s="5" t="s">
        <v>1681</v>
      </c>
      <c r="N298" s="5" t="s">
        <v>1682</v>
      </c>
      <c r="O298" s="5" t="s">
        <v>1680</v>
      </c>
      <c r="P298" s="6">
        <v>600</v>
      </c>
      <c r="Q298" s="6">
        <v>600</v>
      </c>
      <c r="R298" s="6">
        <v>0</v>
      </c>
      <c r="S298" s="6">
        <v>0</v>
      </c>
      <c r="T298" s="6">
        <v>0</v>
      </c>
    </row>
    <row r="299" spans="1:20">
      <c r="A299" s="5" t="s">
        <v>1672</v>
      </c>
      <c r="B299" s="5" t="s">
        <v>1673</v>
      </c>
      <c r="C299" s="5" t="s">
        <v>1715</v>
      </c>
      <c r="D299" s="5" t="s">
        <v>325</v>
      </c>
      <c r="E299" s="5" t="s">
        <v>1716</v>
      </c>
      <c r="F299" s="5" t="s">
        <v>1717</v>
      </c>
      <c r="G299" s="5" t="s">
        <v>1716</v>
      </c>
      <c r="H299" s="5" t="s">
        <v>1717</v>
      </c>
      <c r="I299" s="5" t="s">
        <v>1873</v>
      </c>
      <c r="J299" s="5" t="s">
        <v>1678</v>
      </c>
      <c r="K299" s="5" t="s">
        <v>1872</v>
      </c>
      <c r="L299" s="5" t="s">
        <v>1680</v>
      </c>
      <c r="M299" s="5" t="s">
        <v>1681</v>
      </c>
      <c r="N299" s="5" t="s">
        <v>1682</v>
      </c>
      <c r="O299" s="5" t="s">
        <v>1680</v>
      </c>
      <c r="P299" s="6">
        <v>133827.54999999999</v>
      </c>
      <c r="Q299" s="6">
        <v>249986</v>
      </c>
      <c r="R299" s="6">
        <v>22101.29</v>
      </c>
      <c r="S299" s="6">
        <v>94057.16</v>
      </c>
      <c r="T299" s="6">
        <v>0</v>
      </c>
    </row>
    <row r="300" spans="1:20">
      <c r="A300" s="5" t="s">
        <v>1672</v>
      </c>
      <c r="B300" s="5" t="s">
        <v>1673</v>
      </c>
      <c r="C300" s="5" t="s">
        <v>1715</v>
      </c>
      <c r="D300" s="5" t="s">
        <v>325</v>
      </c>
      <c r="E300" s="5" t="s">
        <v>1718</v>
      </c>
      <c r="F300" s="5" t="s">
        <v>1719</v>
      </c>
      <c r="G300" s="5" t="s">
        <v>1718</v>
      </c>
      <c r="H300" s="5" t="s">
        <v>1719</v>
      </c>
      <c r="I300" s="5" t="s">
        <v>1873</v>
      </c>
      <c r="J300" s="5" t="s">
        <v>1678</v>
      </c>
      <c r="K300" s="5" t="s">
        <v>1872</v>
      </c>
      <c r="L300" s="5" t="s">
        <v>1680</v>
      </c>
      <c r="M300" s="5" t="s">
        <v>1681</v>
      </c>
      <c r="N300" s="5" t="s">
        <v>1682</v>
      </c>
      <c r="O300" s="5" t="s">
        <v>1680</v>
      </c>
      <c r="P300" s="6">
        <v>133827.54999999999</v>
      </c>
      <c r="Q300" s="6">
        <v>249986</v>
      </c>
      <c r="R300" s="6">
        <v>22101.29</v>
      </c>
      <c r="S300" s="6">
        <v>94057.16</v>
      </c>
      <c r="T300" s="6">
        <v>0</v>
      </c>
    </row>
    <row r="301" spans="1:20">
      <c r="A301" s="5" t="s">
        <v>1672</v>
      </c>
      <c r="B301" s="5" t="s">
        <v>1673</v>
      </c>
      <c r="C301" s="5" t="s">
        <v>1715</v>
      </c>
      <c r="D301" s="5" t="s">
        <v>325</v>
      </c>
      <c r="E301" s="5" t="s">
        <v>1720</v>
      </c>
      <c r="F301" s="5" t="s">
        <v>1721</v>
      </c>
      <c r="G301" s="5" t="s">
        <v>1720</v>
      </c>
      <c r="H301" s="5" t="s">
        <v>1721</v>
      </c>
      <c r="I301" s="5" t="s">
        <v>1873</v>
      </c>
      <c r="J301" s="5" t="s">
        <v>1678</v>
      </c>
      <c r="K301" s="5" t="s">
        <v>1872</v>
      </c>
      <c r="L301" s="5" t="s">
        <v>1680</v>
      </c>
      <c r="M301" s="5" t="s">
        <v>1681</v>
      </c>
      <c r="N301" s="5" t="s">
        <v>1682</v>
      </c>
      <c r="O301" s="5" t="s">
        <v>1680</v>
      </c>
      <c r="P301" s="6">
        <v>133827.54999999999</v>
      </c>
      <c r="Q301" s="6">
        <v>249986</v>
      </c>
      <c r="R301" s="6">
        <v>22101.29</v>
      </c>
      <c r="S301" s="6">
        <v>94057.16</v>
      </c>
      <c r="T301" s="6">
        <v>0</v>
      </c>
    </row>
    <row r="302" spans="1:20">
      <c r="A302" s="5" t="s">
        <v>1672</v>
      </c>
      <c r="B302" s="5" t="s">
        <v>1673</v>
      </c>
      <c r="C302" s="5" t="s">
        <v>1715</v>
      </c>
      <c r="D302" s="5" t="s">
        <v>325</v>
      </c>
      <c r="E302" s="5" t="s">
        <v>1722</v>
      </c>
      <c r="F302" s="5" t="s">
        <v>1723</v>
      </c>
      <c r="G302" s="5" t="s">
        <v>1724</v>
      </c>
      <c r="H302" s="5" t="s">
        <v>1725</v>
      </c>
      <c r="I302" s="5" t="s">
        <v>1873</v>
      </c>
      <c r="J302" s="5" t="s">
        <v>1678</v>
      </c>
      <c r="K302" s="5" t="s">
        <v>1872</v>
      </c>
      <c r="L302" s="5" t="s">
        <v>1680</v>
      </c>
      <c r="M302" s="5" t="s">
        <v>1681</v>
      </c>
      <c r="N302" s="5" t="s">
        <v>1682</v>
      </c>
      <c r="O302" s="5" t="s">
        <v>1680</v>
      </c>
      <c r="P302" s="6">
        <v>133827.54999999999</v>
      </c>
      <c r="Q302" s="6">
        <v>249986</v>
      </c>
      <c r="R302" s="6">
        <v>22101.29</v>
      </c>
      <c r="S302" s="6">
        <v>94057.16</v>
      </c>
      <c r="T302" s="6">
        <v>0</v>
      </c>
    </row>
    <row r="303" spans="1:20">
      <c r="A303" s="5" t="s">
        <v>1672</v>
      </c>
      <c r="B303" s="5" t="s">
        <v>1673</v>
      </c>
      <c r="C303" s="5" t="s">
        <v>1715</v>
      </c>
      <c r="D303" s="5" t="s">
        <v>325</v>
      </c>
      <c r="E303" s="5" t="s">
        <v>1726</v>
      </c>
      <c r="F303" s="5" t="s">
        <v>1727</v>
      </c>
      <c r="G303" s="5" t="s">
        <v>1726</v>
      </c>
      <c r="H303" s="5" t="s">
        <v>1727</v>
      </c>
      <c r="I303" s="5" t="s">
        <v>1873</v>
      </c>
      <c r="J303" s="5" t="s">
        <v>1678</v>
      </c>
      <c r="K303" s="5" t="s">
        <v>1872</v>
      </c>
      <c r="L303" s="5" t="s">
        <v>1680</v>
      </c>
      <c r="M303" s="5" t="s">
        <v>1681</v>
      </c>
      <c r="N303" s="5" t="s">
        <v>1682</v>
      </c>
      <c r="O303" s="5" t="s">
        <v>1680</v>
      </c>
      <c r="P303" s="6">
        <v>133827.54999999999</v>
      </c>
      <c r="Q303" s="6">
        <v>249986</v>
      </c>
      <c r="R303" s="6">
        <v>22101.29</v>
      </c>
      <c r="S303" s="6">
        <v>94057.16</v>
      </c>
      <c r="T303" s="6">
        <v>0</v>
      </c>
    </row>
    <row r="304" spans="1:20">
      <c r="A304" s="5" t="s">
        <v>1672</v>
      </c>
      <c r="B304" s="5" t="s">
        <v>1673</v>
      </c>
      <c r="C304" s="5" t="s">
        <v>1715</v>
      </c>
      <c r="D304" s="5" t="s">
        <v>325</v>
      </c>
      <c r="E304" s="5" t="s">
        <v>1728</v>
      </c>
      <c r="F304" s="5" t="s">
        <v>1729</v>
      </c>
      <c r="G304" s="5" t="s">
        <v>1728</v>
      </c>
      <c r="H304" s="5" t="s">
        <v>1729</v>
      </c>
      <c r="I304" s="5" t="s">
        <v>1873</v>
      </c>
      <c r="J304" s="5" t="s">
        <v>1678</v>
      </c>
      <c r="K304" s="5" t="s">
        <v>1872</v>
      </c>
      <c r="L304" s="5" t="s">
        <v>1680</v>
      </c>
      <c r="M304" s="5" t="s">
        <v>1681</v>
      </c>
      <c r="N304" s="5" t="s">
        <v>1682</v>
      </c>
      <c r="O304" s="5" t="s">
        <v>1680</v>
      </c>
      <c r="P304" s="6">
        <v>133827.54999999999</v>
      </c>
      <c r="Q304" s="6">
        <v>249986</v>
      </c>
      <c r="R304" s="6">
        <v>22101.29</v>
      </c>
      <c r="S304" s="6">
        <v>94057.16</v>
      </c>
      <c r="T304" s="6">
        <v>0</v>
      </c>
    </row>
    <row r="305" spans="1:20">
      <c r="A305" s="5" t="s">
        <v>1672</v>
      </c>
      <c r="B305" s="5" t="s">
        <v>1673</v>
      </c>
      <c r="C305" s="5" t="s">
        <v>1715</v>
      </c>
      <c r="D305" s="5" t="s">
        <v>325</v>
      </c>
      <c r="E305" s="5" t="s">
        <v>1730</v>
      </c>
      <c r="F305" s="5" t="s">
        <v>1731</v>
      </c>
      <c r="G305" s="5" t="s">
        <v>1730</v>
      </c>
      <c r="H305" s="5" t="s">
        <v>1731</v>
      </c>
      <c r="I305" s="5" t="s">
        <v>1873</v>
      </c>
      <c r="J305" s="5" t="s">
        <v>1678</v>
      </c>
      <c r="K305" s="5" t="s">
        <v>1872</v>
      </c>
      <c r="L305" s="5" t="s">
        <v>1680</v>
      </c>
      <c r="M305" s="5" t="s">
        <v>1681</v>
      </c>
      <c r="N305" s="5" t="s">
        <v>1682</v>
      </c>
      <c r="O305" s="5" t="s">
        <v>1680</v>
      </c>
      <c r="P305" s="6">
        <v>133827.54999999999</v>
      </c>
      <c r="Q305" s="6">
        <v>249986</v>
      </c>
      <c r="R305" s="6">
        <v>22101.29</v>
      </c>
      <c r="S305" s="6">
        <v>94057.16</v>
      </c>
      <c r="T305" s="6">
        <v>0</v>
      </c>
    </row>
    <row r="306" spans="1:20">
      <c r="A306" s="5" t="s">
        <v>1672</v>
      </c>
      <c r="B306" s="5" t="s">
        <v>1673</v>
      </c>
      <c r="C306" s="5" t="s">
        <v>1715</v>
      </c>
      <c r="D306" s="5" t="s">
        <v>325</v>
      </c>
      <c r="E306" s="5" t="s">
        <v>1732</v>
      </c>
      <c r="F306" s="5" t="s">
        <v>1733</v>
      </c>
      <c r="G306" s="5" t="s">
        <v>1732</v>
      </c>
      <c r="H306" s="5" t="s">
        <v>1733</v>
      </c>
      <c r="I306" s="5" t="s">
        <v>1873</v>
      </c>
      <c r="J306" s="5" t="s">
        <v>1678</v>
      </c>
      <c r="K306" s="5" t="s">
        <v>1872</v>
      </c>
      <c r="L306" s="5" t="s">
        <v>1680</v>
      </c>
      <c r="M306" s="5" t="s">
        <v>1681</v>
      </c>
      <c r="N306" s="5" t="s">
        <v>1682</v>
      </c>
      <c r="O306" s="5" t="s">
        <v>1680</v>
      </c>
      <c r="P306" s="6">
        <v>133827.54999999999</v>
      </c>
      <c r="Q306" s="6">
        <v>249986</v>
      </c>
      <c r="R306" s="6">
        <v>22101.29</v>
      </c>
      <c r="S306" s="6">
        <v>94057.16</v>
      </c>
      <c r="T306" s="6">
        <v>0</v>
      </c>
    </row>
    <row r="307" spans="1:20">
      <c r="A307" s="5" t="s">
        <v>1672</v>
      </c>
      <c r="B307" s="5" t="s">
        <v>1673</v>
      </c>
      <c r="C307" s="5" t="s">
        <v>1715</v>
      </c>
      <c r="D307" s="5" t="s">
        <v>325</v>
      </c>
      <c r="E307" s="5" t="s">
        <v>1734</v>
      </c>
      <c r="F307" s="5" t="s">
        <v>1735</v>
      </c>
      <c r="G307" s="5" t="s">
        <v>1734</v>
      </c>
      <c r="H307" s="5" t="s">
        <v>1735</v>
      </c>
      <c r="I307" s="5" t="s">
        <v>1873</v>
      </c>
      <c r="J307" s="5" t="s">
        <v>1678</v>
      </c>
      <c r="K307" s="5" t="s">
        <v>1872</v>
      </c>
      <c r="L307" s="5" t="s">
        <v>1680</v>
      </c>
      <c r="M307" s="5" t="s">
        <v>1681</v>
      </c>
      <c r="N307" s="5" t="s">
        <v>1682</v>
      </c>
      <c r="O307" s="5" t="s">
        <v>1680</v>
      </c>
      <c r="P307" s="6">
        <v>133827.54999999999</v>
      </c>
      <c r="Q307" s="6">
        <v>249986</v>
      </c>
      <c r="R307" s="6">
        <v>22101.29</v>
      </c>
      <c r="S307" s="6">
        <v>94057.16</v>
      </c>
      <c r="T307" s="6">
        <v>0</v>
      </c>
    </row>
    <row r="308" spans="1:20">
      <c r="A308" s="5" t="s">
        <v>1672</v>
      </c>
      <c r="B308" s="5" t="s">
        <v>1673</v>
      </c>
      <c r="C308" s="5" t="s">
        <v>1715</v>
      </c>
      <c r="D308" s="5" t="s">
        <v>325</v>
      </c>
      <c r="E308" s="5" t="s">
        <v>1736</v>
      </c>
      <c r="F308" s="5" t="s">
        <v>1737</v>
      </c>
      <c r="G308" s="5" t="s">
        <v>1738</v>
      </c>
      <c r="H308" s="5" t="s">
        <v>1739</v>
      </c>
      <c r="I308" s="5" t="s">
        <v>1873</v>
      </c>
      <c r="J308" s="5" t="s">
        <v>1678</v>
      </c>
      <c r="K308" s="5" t="s">
        <v>1872</v>
      </c>
      <c r="L308" s="5" t="s">
        <v>1680</v>
      </c>
      <c r="M308" s="5" t="s">
        <v>1681</v>
      </c>
      <c r="N308" s="5" t="s">
        <v>1682</v>
      </c>
      <c r="O308" s="5" t="s">
        <v>1680</v>
      </c>
      <c r="P308" s="6">
        <v>133827.54999999999</v>
      </c>
      <c r="Q308" s="6">
        <v>249986</v>
      </c>
      <c r="R308" s="6">
        <v>22101.29</v>
      </c>
      <c r="S308" s="6">
        <v>94057.16</v>
      </c>
      <c r="T308" s="6">
        <v>0</v>
      </c>
    </row>
    <row r="309" spans="1:20">
      <c r="A309" s="5" t="s">
        <v>1672</v>
      </c>
      <c r="B309" s="5" t="s">
        <v>1673</v>
      </c>
      <c r="C309" s="5" t="s">
        <v>1715</v>
      </c>
      <c r="D309" s="5" t="s">
        <v>325</v>
      </c>
      <c r="E309" s="5" t="s">
        <v>1740</v>
      </c>
      <c r="F309" s="5" t="s">
        <v>1741</v>
      </c>
      <c r="G309" s="5" t="s">
        <v>1740</v>
      </c>
      <c r="H309" s="5" t="s">
        <v>1741</v>
      </c>
      <c r="I309" s="5" t="s">
        <v>1873</v>
      </c>
      <c r="J309" s="5" t="s">
        <v>1678</v>
      </c>
      <c r="K309" s="5" t="s">
        <v>1872</v>
      </c>
      <c r="L309" s="5" t="s">
        <v>1680</v>
      </c>
      <c r="M309" s="5" t="s">
        <v>1681</v>
      </c>
      <c r="N309" s="5" t="s">
        <v>1682</v>
      </c>
      <c r="O309" s="5" t="s">
        <v>1680</v>
      </c>
      <c r="P309" s="6">
        <v>133827.54999999999</v>
      </c>
      <c r="Q309" s="6">
        <v>249986</v>
      </c>
      <c r="R309" s="6">
        <v>22101.29</v>
      </c>
      <c r="S309" s="6">
        <v>94057.16</v>
      </c>
      <c r="T309" s="6">
        <v>0</v>
      </c>
    </row>
    <row r="310" spans="1:20">
      <c r="A310" s="5" t="s">
        <v>1672</v>
      </c>
      <c r="B310" s="5" t="s">
        <v>1673</v>
      </c>
      <c r="C310" s="5" t="s">
        <v>1715</v>
      </c>
      <c r="D310" s="5" t="s">
        <v>325</v>
      </c>
      <c r="E310" s="5" t="s">
        <v>1742</v>
      </c>
      <c r="F310" s="5" t="s">
        <v>1743</v>
      </c>
      <c r="G310" s="5" t="s">
        <v>1744</v>
      </c>
      <c r="H310" s="5" t="s">
        <v>1745</v>
      </c>
      <c r="I310" s="5" t="s">
        <v>1873</v>
      </c>
      <c r="J310" s="5" t="s">
        <v>1678</v>
      </c>
      <c r="K310" s="5" t="s">
        <v>1872</v>
      </c>
      <c r="L310" s="5" t="s">
        <v>1680</v>
      </c>
      <c r="M310" s="5" t="s">
        <v>1681</v>
      </c>
      <c r="N310" s="5" t="s">
        <v>1682</v>
      </c>
      <c r="O310" s="5" t="s">
        <v>1680</v>
      </c>
      <c r="P310" s="6">
        <v>133827.54999999999</v>
      </c>
      <c r="Q310" s="6">
        <v>249986</v>
      </c>
      <c r="R310" s="6">
        <v>22101.29</v>
      </c>
      <c r="S310" s="6">
        <v>94057.16</v>
      </c>
      <c r="T310" s="6">
        <v>0</v>
      </c>
    </row>
    <row r="311" spans="1:20">
      <c r="A311" s="5" t="s">
        <v>1672</v>
      </c>
      <c r="B311" s="5" t="s">
        <v>1673</v>
      </c>
      <c r="C311" s="5" t="s">
        <v>1715</v>
      </c>
      <c r="D311" s="5" t="s">
        <v>325</v>
      </c>
      <c r="E311" s="5" t="s">
        <v>1746</v>
      </c>
      <c r="F311" s="5" t="s">
        <v>1747</v>
      </c>
      <c r="G311" s="5" t="s">
        <v>1748</v>
      </c>
      <c r="H311" s="5" t="s">
        <v>1749</v>
      </c>
      <c r="I311" s="5" t="s">
        <v>1873</v>
      </c>
      <c r="J311" s="5" t="s">
        <v>1678</v>
      </c>
      <c r="K311" s="5" t="s">
        <v>1872</v>
      </c>
      <c r="L311" s="5" t="s">
        <v>1680</v>
      </c>
      <c r="M311" s="5" t="s">
        <v>1681</v>
      </c>
      <c r="N311" s="5" t="s">
        <v>1682</v>
      </c>
      <c r="O311" s="5" t="s">
        <v>1680</v>
      </c>
      <c r="P311" s="6">
        <v>133827.54999999999</v>
      </c>
      <c r="Q311" s="6">
        <v>249986</v>
      </c>
      <c r="R311" s="6">
        <v>22101.29</v>
      </c>
      <c r="S311" s="6">
        <v>94057.16</v>
      </c>
      <c r="T311" s="6">
        <v>0</v>
      </c>
    </row>
    <row r="312" spans="1:20">
      <c r="A312" s="5" t="s">
        <v>1672</v>
      </c>
      <c r="B312" s="5" t="s">
        <v>1673</v>
      </c>
      <c r="C312" s="5" t="s">
        <v>1715</v>
      </c>
      <c r="D312" s="5" t="s">
        <v>325</v>
      </c>
      <c r="E312" s="5" t="s">
        <v>1750</v>
      </c>
      <c r="F312" s="5" t="s">
        <v>1751</v>
      </c>
      <c r="G312" s="5" t="s">
        <v>1752</v>
      </c>
      <c r="H312" s="5" t="s">
        <v>1753</v>
      </c>
      <c r="I312" s="5" t="s">
        <v>1873</v>
      </c>
      <c r="J312" s="5" t="s">
        <v>1678</v>
      </c>
      <c r="K312" s="5" t="s">
        <v>1872</v>
      </c>
      <c r="L312" s="5" t="s">
        <v>1680</v>
      </c>
      <c r="M312" s="5" t="s">
        <v>1681</v>
      </c>
      <c r="N312" s="5" t="s">
        <v>1682</v>
      </c>
      <c r="O312" s="5" t="s">
        <v>1680</v>
      </c>
      <c r="P312" s="6">
        <v>133827.54999999999</v>
      </c>
      <c r="Q312" s="6">
        <v>249986</v>
      </c>
      <c r="R312" s="6">
        <v>22101.29</v>
      </c>
      <c r="S312" s="6">
        <v>94057.16</v>
      </c>
      <c r="T312" s="6">
        <v>0</v>
      </c>
    </row>
    <row r="313" spans="1:20">
      <c r="A313" s="5" t="s">
        <v>1672</v>
      </c>
      <c r="B313" s="5" t="s">
        <v>1673</v>
      </c>
      <c r="C313" s="5" t="s">
        <v>1715</v>
      </c>
      <c r="D313" s="5" t="s">
        <v>325</v>
      </c>
      <c r="E313" s="5" t="s">
        <v>1754</v>
      </c>
      <c r="F313" s="5" t="s">
        <v>1755</v>
      </c>
      <c r="G313" s="5" t="s">
        <v>1756</v>
      </c>
      <c r="H313" s="5" t="s">
        <v>1757</v>
      </c>
      <c r="I313" s="5" t="s">
        <v>1873</v>
      </c>
      <c r="J313" s="5" t="s">
        <v>1678</v>
      </c>
      <c r="K313" s="5" t="s">
        <v>1872</v>
      </c>
      <c r="L313" s="5" t="s">
        <v>1680</v>
      </c>
      <c r="M313" s="5" t="s">
        <v>1681</v>
      </c>
      <c r="N313" s="5" t="s">
        <v>1682</v>
      </c>
      <c r="O313" s="5" t="s">
        <v>1680</v>
      </c>
      <c r="P313" s="6">
        <v>133827.54999999999</v>
      </c>
      <c r="Q313" s="6">
        <v>249986</v>
      </c>
      <c r="R313" s="6">
        <v>22101.29</v>
      </c>
      <c r="S313" s="6">
        <v>94057.16</v>
      </c>
      <c r="T313" s="6">
        <v>0</v>
      </c>
    </row>
    <row r="314" spans="1:20">
      <c r="A314" s="5" t="s">
        <v>1672</v>
      </c>
      <c r="B314" s="5" t="s">
        <v>1673</v>
      </c>
      <c r="C314" s="5" t="s">
        <v>1715</v>
      </c>
      <c r="D314" s="5" t="s">
        <v>325</v>
      </c>
      <c r="E314" s="5" t="s">
        <v>1758</v>
      </c>
      <c r="F314" s="5" t="s">
        <v>1759</v>
      </c>
      <c r="G314" s="5" t="s">
        <v>1758</v>
      </c>
      <c r="H314" s="5" t="s">
        <v>1759</v>
      </c>
      <c r="I314" s="5" t="s">
        <v>1873</v>
      </c>
      <c r="J314" s="5" t="s">
        <v>1678</v>
      </c>
      <c r="K314" s="5" t="s">
        <v>1872</v>
      </c>
      <c r="L314" s="5" t="s">
        <v>1680</v>
      </c>
      <c r="M314" s="5" t="s">
        <v>1681</v>
      </c>
      <c r="N314" s="5" t="s">
        <v>1682</v>
      </c>
      <c r="O314" s="5" t="s">
        <v>1680</v>
      </c>
      <c r="P314" s="6">
        <v>133827.54999999999</v>
      </c>
      <c r="Q314" s="6">
        <v>249986</v>
      </c>
      <c r="R314" s="6">
        <v>22101.29</v>
      </c>
      <c r="S314" s="6">
        <v>94057.16</v>
      </c>
      <c r="T314" s="6">
        <v>0</v>
      </c>
    </row>
    <row r="315" spans="1:20">
      <c r="A315" s="5" t="s">
        <v>1672</v>
      </c>
      <c r="B315" s="5" t="s">
        <v>1673</v>
      </c>
      <c r="C315" s="5" t="s">
        <v>1715</v>
      </c>
      <c r="D315" s="5" t="s">
        <v>325</v>
      </c>
      <c r="E315" s="5" t="s">
        <v>1760</v>
      </c>
      <c r="F315" s="5" t="s">
        <v>1761</v>
      </c>
      <c r="G315" s="5" t="s">
        <v>1760</v>
      </c>
      <c r="H315" s="5" t="s">
        <v>1761</v>
      </c>
      <c r="I315" s="5" t="s">
        <v>1873</v>
      </c>
      <c r="J315" s="5" t="s">
        <v>1678</v>
      </c>
      <c r="K315" s="5" t="s">
        <v>1872</v>
      </c>
      <c r="L315" s="5" t="s">
        <v>1680</v>
      </c>
      <c r="M315" s="5" t="s">
        <v>1681</v>
      </c>
      <c r="N315" s="5" t="s">
        <v>1682</v>
      </c>
      <c r="O315" s="5" t="s">
        <v>1680</v>
      </c>
      <c r="P315" s="6">
        <v>133827.54999999999</v>
      </c>
      <c r="Q315" s="6">
        <v>249986</v>
      </c>
      <c r="R315" s="6">
        <v>22101.29</v>
      </c>
      <c r="S315" s="6">
        <v>94057.16</v>
      </c>
      <c r="T315" s="6">
        <v>0</v>
      </c>
    </row>
    <row r="316" spans="1:20">
      <c r="A316" s="5" t="s">
        <v>1672</v>
      </c>
      <c r="B316" s="5" t="s">
        <v>1673</v>
      </c>
      <c r="C316" s="5" t="s">
        <v>1715</v>
      </c>
      <c r="D316" s="5" t="s">
        <v>325</v>
      </c>
      <c r="E316" s="5" t="s">
        <v>1762</v>
      </c>
      <c r="F316" s="5" t="s">
        <v>1763</v>
      </c>
      <c r="G316" s="5" t="s">
        <v>1764</v>
      </c>
      <c r="H316" s="5" t="s">
        <v>1765</v>
      </c>
      <c r="I316" s="5" t="s">
        <v>1873</v>
      </c>
      <c r="J316" s="5" t="s">
        <v>1678</v>
      </c>
      <c r="K316" s="5" t="s">
        <v>1872</v>
      </c>
      <c r="L316" s="5" t="s">
        <v>1680</v>
      </c>
      <c r="M316" s="5" t="s">
        <v>1681</v>
      </c>
      <c r="N316" s="5" t="s">
        <v>1682</v>
      </c>
      <c r="O316" s="5" t="s">
        <v>1680</v>
      </c>
      <c r="P316" s="6">
        <v>133827.54999999999</v>
      </c>
      <c r="Q316" s="6">
        <v>249986</v>
      </c>
      <c r="R316" s="6">
        <v>22101.29</v>
      </c>
      <c r="S316" s="6">
        <v>94057.16</v>
      </c>
      <c r="T316" s="6">
        <v>0</v>
      </c>
    </row>
    <row r="317" spans="1:20">
      <c r="A317" s="5" t="s">
        <v>1672</v>
      </c>
      <c r="B317" s="5" t="s">
        <v>1673</v>
      </c>
      <c r="C317" s="5" t="s">
        <v>1715</v>
      </c>
      <c r="D317" s="5" t="s">
        <v>325</v>
      </c>
      <c r="E317" s="5" t="s">
        <v>1766</v>
      </c>
      <c r="F317" s="5" t="s">
        <v>1767</v>
      </c>
      <c r="G317" s="5" t="s">
        <v>1766</v>
      </c>
      <c r="H317" s="5" t="s">
        <v>1767</v>
      </c>
      <c r="I317" s="5" t="s">
        <v>1873</v>
      </c>
      <c r="J317" s="5" t="s">
        <v>1678</v>
      </c>
      <c r="K317" s="5" t="s">
        <v>1872</v>
      </c>
      <c r="L317" s="5" t="s">
        <v>1680</v>
      </c>
      <c r="M317" s="5" t="s">
        <v>1681</v>
      </c>
      <c r="N317" s="5" t="s">
        <v>1682</v>
      </c>
      <c r="O317" s="5" t="s">
        <v>1680</v>
      </c>
      <c r="P317" s="6">
        <v>133827.54999999999</v>
      </c>
      <c r="Q317" s="6">
        <v>249986</v>
      </c>
      <c r="R317" s="6">
        <v>22101.29</v>
      </c>
      <c r="S317" s="6">
        <v>94057.16</v>
      </c>
      <c r="T317" s="6">
        <v>0</v>
      </c>
    </row>
    <row r="318" spans="1:20">
      <c r="A318" s="5" t="s">
        <v>1672</v>
      </c>
      <c r="B318" s="5" t="s">
        <v>1673</v>
      </c>
      <c r="C318" s="5" t="s">
        <v>1715</v>
      </c>
      <c r="D318" s="5" t="s">
        <v>325</v>
      </c>
      <c r="E318" s="5" t="s">
        <v>1768</v>
      </c>
      <c r="F318" s="5" t="s">
        <v>1769</v>
      </c>
      <c r="G318" s="5" t="s">
        <v>1770</v>
      </c>
      <c r="H318" s="5" t="s">
        <v>1771</v>
      </c>
      <c r="I318" s="5" t="s">
        <v>1873</v>
      </c>
      <c r="J318" s="5" t="s">
        <v>1678</v>
      </c>
      <c r="K318" s="5" t="s">
        <v>1872</v>
      </c>
      <c r="L318" s="5" t="s">
        <v>1680</v>
      </c>
      <c r="M318" s="5" t="s">
        <v>1681</v>
      </c>
      <c r="N318" s="5" t="s">
        <v>1682</v>
      </c>
      <c r="O318" s="5" t="s">
        <v>1680</v>
      </c>
      <c r="P318" s="6">
        <v>133827.54999999999</v>
      </c>
      <c r="Q318" s="6">
        <v>249986</v>
      </c>
      <c r="R318" s="6">
        <v>22101.29</v>
      </c>
      <c r="S318" s="6">
        <v>94057.16</v>
      </c>
      <c r="T318" s="6">
        <v>0</v>
      </c>
    </row>
    <row r="319" spans="1:20">
      <c r="A319" s="5" t="s">
        <v>1672</v>
      </c>
      <c r="B319" s="5" t="s">
        <v>1673</v>
      </c>
      <c r="C319" s="5" t="s">
        <v>1715</v>
      </c>
      <c r="D319" s="5" t="s">
        <v>325</v>
      </c>
      <c r="E319" s="5" t="s">
        <v>1772</v>
      </c>
      <c r="F319" s="5" t="s">
        <v>1773</v>
      </c>
      <c r="G319" s="5" t="s">
        <v>1774</v>
      </c>
      <c r="H319" s="5" t="s">
        <v>1775</v>
      </c>
      <c r="I319" s="5" t="s">
        <v>1873</v>
      </c>
      <c r="J319" s="5" t="s">
        <v>1678</v>
      </c>
      <c r="K319" s="5" t="s">
        <v>1872</v>
      </c>
      <c r="L319" s="5" t="s">
        <v>1680</v>
      </c>
      <c r="M319" s="5" t="s">
        <v>1681</v>
      </c>
      <c r="N319" s="5" t="s">
        <v>1682</v>
      </c>
      <c r="O319" s="5" t="s">
        <v>1680</v>
      </c>
      <c r="P319" s="6">
        <v>133827.54999999999</v>
      </c>
      <c r="Q319" s="6">
        <v>249986</v>
      </c>
      <c r="R319" s="6">
        <v>22101.29</v>
      </c>
      <c r="S319" s="6">
        <v>94057.16</v>
      </c>
      <c r="T319" s="6">
        <v>0</v>
      </c>
    </row>
    <row r="320" spans="1:20">
      <c r="A320" s="5" t="s">
        <v>1672</v>
      </c>
      <c r="B320" s="5" t="s">
        <v>1673</v>
      </c>
      <c r="C320" s="5" t="s">
        <v>1715</v>
      </c>
      <c r="D320" s="5" t="s">
        <v>325</v>
      </c>
      <c r="E320" s="5" t="s">
        <v>1776</v>
      </c>
      <c r="F320" s="5" t="s">
        <v>1777</v>
      </c>
      <c r="G320" s="5" t="s">
        <v>1778</v>
      </c>
      <c r="H320" s="5" t="s">
        <v>1779</v>
      </c>
      <c r="I320" s="5" t="s">
        <v>1873</v>
      </c>
      <c r="J320" s="5" t="s">
        <v>1678</v>
      </c>
      <c r="K320" s="5" t="s">
        <v>1872</v>
      </c>
      <c r="L320" s="5" t="s">
        <v>1680</v>
      </c>
      <c r="M320" s="5" t="s">
        <v>1681</v>
      </c>
      <c r="N320" s="5" t="s">
        <v>1682</v>
      </c>
      <c r="O320" s="5" t="s">
        <v>1680</v>
      </c>
      <c r="P320" s="6">
        <v>133827.54999999999</v>
      </c>
      <c r="Q320" s="6">
        <v>249986</v>
      </c>
      <c r="R320" s="6">
        <v>22101.29</v>
      </c>
      <c r="S320" s="6">
        <v>94057.16</v>
      </c>
      <c r="T320" s="6">
        <v>0</v>
      </c>
    </row>
    <row r="321" spans="1:20">
      <c r="A321" s="5" t="s">
        <v>1672</v>
      </c>
      <c r="B321" s="5" t="s">
        <v>1673</v>
      </c>
      <c r="C321" s="5" t="s">
        <v>1715</v>
      </c>
      <c r="D321" s="5" t="s">
        <v>325</v>
      </c>
      <c r="E321" s="5" t="s">
        <v>1780</v>
      </c>
      <c r="F321" s="5" t="s">
        <v>1781</v>
      </c>
      <c r="G321" s="5" t="s">
        <v>1780</v>
      </c>
      <c r="H321" s="5" t="s">
        <v>1781</v>
      </c>
      <c r="I321" s="5" t="s">
        <v>1873</v>
      </c>
      <c r="J321" s="5" t="s">
        <v>1678</v>
      </c>
      <c r="K321" s="5" t="s">
        <v>1872</v>
      </c>
      <c r="L321" s="5" t="s">
        <v>1680</v>
      </c>
      <c r="M321" s="5" t="s">
        <v>1681</v>
      </c>
      <c r="N321" s="5" t="s">
        <v>1682</v>
      </c>
      <c r="O321" s="5" t="s">
        <v>1680</v>
      </c>
      <c r="P321" s="6">
        <v>133827.54999999999</v>
      </c>
      <c r="Q321" s="6">
        <v>249986</v>
      </c>
      <c r="R321" s="6">
        <v>22101.29</v>
      </c>
      <c r="S321" s="6">
        <v>94057.16</v>
      </c>
      <c r="T321" s="6">
        <v>0</v>
      </c>
    </row>
    <row r="322" spans="1:20">
      <c r="A322" s="5" t="s">
        <v>1672</v>
      </c>
      <c r="B322" s="5" t="s">
        <v>1673</v>
      </c>
      <c r="C322" s="5" t="s">
        <v>1715</v>
      </c>
      <c r="D322" s="5" t="s">
        <v>325</v>
      </c>
      <c r="E322" s="5" t="s">
        <v>1782</v>
      </c>
      <c r="F322" s="5" t="s">
        <v>1783</v>
      </c>
      <c r="G322" s="5" t="s">
        <v>1782</v>
      </c>
      <c r="H322" s="5" t="s">
        <v>1783</v>
      </c>
      <c r="I322" s="5" t="s">
        <v>1873</v>
      </c>
      <c r="J322" s="5" t="s">
        <v>1678</v>
      </c>
      <c r="K322" s="5" t="s">
        <v>1872</v>
      </c>
      <c r="L322" s="5" t="s">
        <v>1680</v>
      </c>
      <c r="M322" s="5" t="s">
        <v>1681</v>
      </c>
      <c r="N322" s="5" t="s">
        <v>1682</v>
      </c>
      <c r="O322" s="5" t="s">
        <v>1680</v>
      </c>
      <c r="P322" s="6">
        <v>133827.54999999999</v>
      </c>
      <c r="Q322" s="6">
        <v>249986</v>
      </c>
      <c r="R322" s="6">
        <v>22101.29</v>
      </c>
      <c r="S322" s="6">
        <v>94057.16</v>
      </c>
      <c r="T322" s="6">
        <v>0</v>
      </c>
    </row>
    <row r="323" spans="1:20">
      <c r="A323" s="5" t="s">
        <v>1672</v>
      </c>
      <c r="B323" s="5" t="s">
        <v>1673</v>
      </c>
      <c r="C323" s="5" t="s">
        <v>1715</v>
      </c>
      <c r="D323" s="5" t="s">
        <v>325</v>
      </c>
      <c r="E323" s="5" t="s">
        <v>1784</v>
      </c>
      <c r="F323" s="5" t="s">
        <v>1785</v>
      </c>
      <c r="G323" s="5" t="s">
        <v>1786</v>
      </c>
      <c r="H323" s="5" t="s">
        <v>1787</v>
      </c>
      <c r="I323" s="5" t="s">
        <v>1873</v>
      </c>
      <c r="J323" s="5" t="s">
        <v>1678</v>
      </c>
      <c r="K323" s="5" t="s">
        <v>1872</v>
      </c>
      <c r="L323" s="5" t="s">
        <v>1680</v>
      </c>
      <c r="M323" s="5" t="s">
        <v>1681</v>
      </c>
      <c r="N323" s="5" t="s">
        <v>1682</v>
      </c>
      <c r="O323" s="5" t="s">
        <v>1680</v>
      </c>
      <c r="P323" s="6">
        <v>133827.54999999999</v>
      </c>
      <c r="Q323" s="6">
        <v>249986</v>
      </c>
      <c r="R323" s="6">
        <v>22101.29</v>
      </c>
      <c r="S323" s="6">
        <v>94057.16</v>
      </c>
      <c r="T323" s="6">
        <v>0</v>
      </c>
    </row>
    <row r="324" spans="1:20">
      <c r="A324" s="5" t="s">
        <v>1672</v>
      </c>
      <c r="B324" s="5" t="s">
        <v>1673</v>
      </c>
      <c r="C324" s="5" t="s">
        <v>1715</v>
      </c>
      <c r="D324" s="5" t="s">
        <v>325</v>
      </c>
      <c r="E324" s="5" t="s">
        <v>1788</v>
      </c>
      <c r="F324" s="5" t="s">
        <v>1789</v>
      </c>
      <c r="G324" s="5" t="s">
        <v>1790</v>
      </c>
      <c r="H324" s="5" t="s">
        <v>1791</v>
      </c>
      <c r="I324" s="5" t="s">
        <v>1873</v>
      </c>
      <c r="J324" s="5" t="s">
        <v>1678</v>
      </c>
      <c r="K324" s="5" t="s">
        <v>1872</v>
      </c>
      <c r="L324" s="5" t="s">
        <v>1680</v>
      </c>
      <c r="M324" s="5" t="s">
        <v>1681</v>
      </c>
      <c r="N324" s="5" t="s">
        <v>1682</v>
      </c>
      <c r="O324" s="5" t="s">
        <v>1680</v>
      </c>
      <c r="P324" s="6">
        <v>133827.54999999999</v>
      </c>
      <c r="Q324" s="6">
        <v>249986</v>
      </c>
      <c r="R324" s="6">
        <v>22101.29</v>
      </c>
      <c r="S324" s="6">
        <v>94057.16</v>
      </c>
      <c r="T324" s="6">
        <v>0</v>
      </c>
    </row>
    <row r="325" spans="1:20">
      <c r="A325" s="5" t="s">
        <v>1672</v>
      </c>
      <c r="B325" s="5" t="s">
        <v>1673</v>
      </c>
      <c r="C325" s="5" t="s">
        <v>1715</v>
      </c>
      <c r="D325" s="5" t="s">
        <v>325</v>
      </c>
      <c r="E325" s="5" t="s">
        <v>1792</v>
      </c>
      <c r="F325" s="5" t="s">
        <v>1793</v>
      </c>
      <c r="G325" s="5" t="s">
        <v>1794</v>
      </c>
      <c r="H325" s="5" t="s">
        <v>1795</v>
      </c>
      <c r="I325" s="5" t="s">
        <v>1873</v>
      </c>
      <c r="J325" s="5" t="s">
        <v>1678</v>
      </c>
      <c r="K325" s="5" t="s">
        <v>1872</v>
      </c>
      <c r="L325" s="5" t="s">
        <v>1680</v>
      </c>
      <c r="M325" s="5" t="s">
        <v>1681</v>
      </c>
      <c r="N325" s="5" t="s">
        <v>1682</v>
      </c>
      <c r="O325" s="5" t="s">
        <v>1680</v>
      </c>
      <c r="P325" s="6">
        <v>133827.54999999999</v>
      </c>
      <c r="Q325" s="6">
        <v>249986</v>
      </c>
      <c r="R325" s="6">
        <v>22101.29</v>
      </c>
      <c r="S325" s="6">
        <v>94057.16</v>
      </c>
      <c r="T325" s="6">
        <v>0</v>
      </c>
    </row>
    <row r="326" spans="1:20">
      <c r="A326" s="5" t="s">
        <v>1672</v>
      </c>
      <c r="B326" s="5" t="s">
        <v>1673</v>
      </c>
      <c r="C326" s="5" t="s">
        <v>1715</v>
      </c>
      <c r="D326" s="5" t="s">
        <v>325</v>
      </c>
      <c r="E326" s="5" t="s">
        <v>1796</v>
      </c>
      <c r="F326" s="5" t="s">
        <v>1797</v>
      </c>
      <c r="G326" s="5" t="s">
        <v>1796</v>
      </c>
      <c r="H326" s="5" t="s">
        <v>1797</v>
      </c>
      <c r="I326" s="5" t="s">
        <v>1873</v>
      </c>
      <c r="J326" s="5" t="s">
        <v>1678</v>
      </c>
      <c r="K326" s="5" t="s">
        <v>1872</v>
      </c>
      <c r="L326" s="5" t="s">
        <v>1680</v>
      </c>
      <c r="M326" s="5" t="s">
        <v>1681</v>
      </c>
      <c r="N326" s="5" t="s">
        <v>1682</v>
      </c>
      <c r="O326" s="5" t="s">
        <v>1680</v>
      </c>
      <c r="P326" s="6">
        <v>133827.54999999999</v>
      </c>
      <c r="Q326" s="6">
        <v>249986</v>
      </c>
      <c r="R326" s="6">
        <v>22101.29</v>
      </c>
      <c r="S326" s="6">
        <v>94057.16</v>
      </c>
      <c r="T326" s="6">
        <v>0</v>
      </c>
    </row>
    <row r="327" spans="1:20">
      <c r="A327" s="5" t="s">
        <v>1672</v>
      </c>
      <c r="B327" s="5" t="s">
        <v>1673</v>
      </c>
      <c r="C327" s="5" t="s">
        <v>1715</v>
      </c>
      <c r="D327" s="5" t="s">
        <v>325</v>
      </c>
      <c r="E327" s="5" t="s">
        <v>1798</v>
      </c>
      <c r="F327" s="5" t="s">
        <v>1799</v>
      </c>
      <c r="G327" s="5" t="s">
        <v>1798</v>
      </c>
      <c r="H327" s="5" t="s">
        <v>1799</v>
      </c>
      <c r="I327" s="5" t="s">
        <v>1873</v>
      </c>
      <c r="J327" s="5" t="s">
        <v>1678</v>
      </c>
      <c r="K327" s="5" t="s">
        <v>1872</v>
      </c>
      <c r="L327" s="5" t="s">
        <v>1680</v>
      </c>
      <c r="M327" s="5" t="s">
        <v>1681</v>
      </c>
      <c r="N327" s="5" t="s">
        <v>1682</v>
      </c>
      <c r="O327" s="5" t="s">
        <v>1680</v>
      </c>
      <c r="P327" s="6">
        <v>133827.54999999999</v>
      </c>
      <c r="Q327" s="6">
        <v>249986</v>
      </c>
      <c r="R327" s="6">
        <v>22101.29</v>
      </c>
      <c r="S327" s="6">
        <v>94057.16</v>
      </c>
      <c r="T327" s="6">
        <v>0</v>
      </c>
    </row>
    <row r="328" spans="1:20">
      <c r="A328" s="5" t="s">
        <v>1672</v>
      </c>
      <c r="B328" s="5" t="s">
        <v>1673</v>
      </c>
      <c r="C328" s="5" t="s">
        <v>1715</v>
      </c>
      <c r="D328" s="5" t="s">
        <v>325</v>
      </c>
      <c r="E328" s="5" t="s">
        <v>1800</v>
      </c>
      <c r="F328" s="5" t="s">
        <v>1801</v>
      </c>
      <c r="G328" s="5" t="s">
        <v>1800</v>
      </c>
      <c r="H328" s="5" t="s">
        <v>1801</v>
      </c>
      <c r="I328" s="5" t="s">
        <v>1873</v>
      </c>
      <c r="J328" s="5" t="s">
        <v>1678</v>
      </c>
      <c r="K328" s="5" t="s">
        <v>1872</v>
      </c>
      <c r="L328" s="5" t="s">
        <v>1680</v>
      </c>
      <c r="M328" s="5" t="s">
        <v>1681</v>
      </c>
      <c r="N328" s="5" t="s">
        <v>1682</v>
      </c>
      <c r="O328" s="5" t="s">
        <v>1680</v>
      </c>
      <c r="P328" s="6">
        <v>133827.54999999999</v>
      </c>
      <c r="Q328" s="6">
        <v>249986</v>
      </c>
      <c r="R328" s="6">
        <v>22101.29</v>
      </c>
      <c r="S328" s="6">
        <v>94057.16</v>
      </c>
      <c r="T328" s="6">
        <v>0</v>
      </c>
    </row>
    <row r="329" spans="1:20">
      <c r="A329" s="5" t="s">
        <v>1672</v>
      </c>
      <c r="B329" s="5" t="s">
        <v>1673</v>
      </c>
      <c r="C329" s="5" t="s">
        <v>1715</v>
      </c>
      <c r="D329" s="5" t="s">
        <v>325</v>
      </c>
      <c r="E329" s="5" t="s">
        <v>1802</v>
      </c>
      <c r="F329" s="5" t="s">
        <v>1803</v>
      </c>
      <c r="G329" s="5" t="s">
        <v>1804</v>
      </c>
      <c r="H329" s="5" t="s">
        <v>1805</v>
      </c>
      <c r="I329" s="5" t="s">
        <v>1873</v>
      </c>
      <c r="J329" s="5" t="s">
        <v>1678</v>
      </c>
      <c r="K329" s="5" t="s">
        <v>1872</v>
      </c>
      <c r="L329" s="5" t="s">
        <v>1680</v>
      </c>
      <c r="M329" s="5" t="s">
        <v>1681</v>
      </c>
      <c r="N329" s="5" t="s">
        <v>1682</v>
      </c>
      <c r="O329" s="5" t="s">
        <v>1680</v>
      </c>
      <c r="P329" s="6">
        <v>133827.54999999999</v>
      </c>
      <c r="Q329" s="6">
        <v>249986</v>
      </c>
      <c r="R329" s="6">
        <v>22101.29</v>
      </c>
      <c r="S329" s="6">
        <v>94057.16</v>
      </c>
      <c r="T329" s="6">
        <v>0</v>
      </c>
    </row>
    <row r="330" spans="1:20">
      <c r="A330" s="5" t="s">
        <v>1672</v>
      </c>
      <c r="B330" s="5" t="s">
        <v>1673</v>
      </c>
      <c r="C330" s="5" t="s">
        <v>1715</v>
      </c>
      <c r="D330" s="5" t="s">
        <v>325</v>
      </c>
      <c r="E330" s="5" t="s">
        <v>1806</v>
      </c>
      <c r="F330" s="5" t="s">
        <v>1807</v>
      </c>
      <c r="G330" s="5" t="s">
        <v>1808</v>
      </c>
      <c r="H330" s="5" t="s">
        <v>1809</v>
      </c>
      <c r="I330" s="5" t="s">
        <v>1873</v>
      </c>
      <c r="J330" s="5" t="s">
        <v>1678</v>
      </c>
      <c r="K330" s="5" t="s">
        <v>1872</v>
      </c>
      <c r="L330" s="5" t="s">
        <v>1680</v>
      </c>
      <c r="M330" s="5" t="s">
        <v>1681</v>
      </c>
      <c r="N330" s="5" t="s">
        <v>1682</v>
      </c>
      <c r="O330" s="5" t="s">
        <v>1680</v>
      </c>
      <c r="P330" s="6">
        <v>133827.54999999999</v>
      </c>
      <c r="Q330" s="6">
        <v>249986</v>
      </c>
      <c r="R330" s="6">
        <v>22101.29</v>
      </c>
      <c r="S330" s="6">
        <v>94057.16</v>
      </c>
      <c r="T330" s="6">
        <v>0</v>
      </c>
    </row>
    <row r="331" spans="1:20">
      <c r="A331" s="5" t="s">
        <v>1672</v>
      </c>
      <c r="B331" s="5" t="s">
        <v>1673</v>
      </c>
      <c r="C331" s="5" t="s">
        <v>1715</v>
      </c>
      <c r="D331" s="5" t="s">
        <v>325</v>
      </c>
      <c r="E331" s="5" t="s">
        <v>1810</v>
      </c>
      <c r="F331" s="5" t="s">
        <v>1811</v>
      </c>
      <c r="G331" s="5" t="s">
        <v>1812</v>
      </c>
      <c r="H331" s="5" t="s">
        <v>1813</v>
      </c>
      <c r="I331" s="5" t="s">
        <v>1873</v>
      </c>
      <c r="J331" s="5" t="s">
        <v>1678</v>
      </c>
      <c r="K331" s="5" t="s">
        <v>1872</v>
      </c>
      <c r="L331" s="5" t="s">
        <v>1680</v>
      </c>
      <c r="M331" s="5" t="s">
        <v>1681</v>
      </c>
      <c r="N331" s="5" t="s">
        <v>1682</v>
      </c>
      <c r="O331" s="5" t="s">
        <v>1680</v>
      </c>
      <c r="P331" s="6">
        <v>133827.54999999999</v>
      </c>
      <c r="Q331" s="6">
        <v>249986</v>
      </c>
      <c r="R331" s="6">
        <v>22101.29</v>
      </c>
      <c r="S331" s="6">
        <v>94057.16</v>
      </c>
      <c r="T331" s="6">
        <v>0</v>
      </c>
    </row>
    <row r="332" spans="1:20">
      <c r="A332" s="5" t="s">
        <v>1672</v>
      </c>
      <c r="B332" s="5" t="s">
        <v>1673</v>
      </c>
      <c r="C332" s="5" t="s">
        <v>1715</v>
      </c>
      <c r="D332" s="5" t="s">
        <v>325</v>
      </c>
      <c r="E332" s="5" t="s">
        <v>1814</v>
      </c>
      <c r="F332" s="5" t="s">
        <v>1815</v>
      </c>
      <c r="G332" s="5" t="s">
        <v>1814</v>
      </c>
      <c r="H332" s="5" t="s">
        <v>1815</v>
      </c>
      <c r="I332" s="5" t="s">
        <v>1873</v>
      </c>
      <c r="J332" s="5" t="s">
        <v>1678</v>
      </c>
      <c r="K332" s="5" t="s">
        <v>1872</v>
      </c>
      <c r="L332" s="5" t="s">
        <v>1680</v>
      </c>
      <c r="M332" s="5" t="s">
        <v>1681</v>
      </c>
      <c r="N332" s="5" t="s">
        <v>1682</v>
      </c>
      <c r="O332" s="5" t="s">
        <v>1680</v>
      </c>
      <c r="P332" s="6">
        <v>133827.54999999999</v>
      </c>
      <c r="Q332" s="6">
        <v>249986</v>
      </c>
      <c r="R332" s="6">
        <v>22101.29</v>
      </c>
      <c r="S332" s="6">
        <v>94057.16</v>
      </c>
      <c r="T332" s="6">
        <v>0</v>
      </c>
    </row>
    <row r="333" spans="1:20">
      <c r="A333" s="5" t="s">
        <v>1672</v>
      </c>
      <c r="B333" s="5" t="s">
        <v>1673</v>
      </c>
      <c r="C333" s="5" t="s">
        <v>1715</v>
      </c>
      <c r="D333" s="5" t="s">
        <v>325</v>
      </c>
      <c r="E333" s="5" t="s">
        <v>1816</v>
      </c>
      <c r="F333" s="5" t="s">
        <v>1817</v>
      </c>
      <c r="G333" s="5" t="s">
        <v>1818</v>
      </c>
      <c r="H333" s="5" t="s">
        <v>1819</v>
      </c>
      <c r="I333" s="5" t="s">
        <v>1873</v>
      </c>
      <c r="J333" s="5" t="s">
        <v>1678</v>
      </c>
      <c r="K333" s="5" t="s">
        <v>1872</v>
      </c>
      <c r="L333" s="5" t="s">
        <v>1680</v>
      </c>
      <c r="M333" s="5" t="s">
        <v>1681</v>
      </c>
      <c r="N333" s="5" t="s">
        <v>1682</v>
      </c>
      <c r="O333" s="5" t="s">
        <v>1680</v>
      </c>
      <c r="P333" s="6">
        <v>133827.54999999999</v>
      </c>
      <c r="Q333" s="6">
        <v>249986</v>
      </c>
      <c r="R333" s="6">
        <v>22101.29</v>
      </c>
      <c r="S333" s="6">
        <v>94057.16</v>
      </c>
      <c r="T333" s="6">
        <v>0</v>
      </c>
    </row>
    <row r="334" spans="1:20">
      <c r="A334" s="5" t="s">
        <v>1672</v>
      </c>
      <c r="B334" s="5" t="s">
        <v>1673</v>
      </c>
      <c r="C334" s="5" t="s">
        <v>1715</v>
      </c>
      <c r="D334" s="5" t="s">
        <v>325</v>
      </c>
      <c r="E334" s="5" t="s">
        <v>1820</v>
      </c>
      <c r="F334" s="5" t="s">
        <v>1821</v>
      </c>
      <c r="G334" s="5" t="s">
        <v>1822</v>
      </c>
      <c r="H334" s="5" t="s">
        <v>1823</v>
      </c>
      <c r="I334" s="5" t="s">
        <v>1873</v>
      </c>
      <c r="J334" s="5" t="s">
        <v>1678</v>
      </c>
      <c r="K334" s="5" t="s">
        <v>1872</v>
      </c>
      <c r="L334" s="5" t="s">
        <v>1680</v>
      </c>
      <c r="M334" s="5" t="s">
        <v>1681</v>
      </c>
      <c r="N334" s="5" t="s">
        <v>1682</v>
      </c>
      <c r="O334" s="5" t="s">
        <v>1680</v>
      </c>
      <c r="P334" s="6">
        <v>133827.54999999999</v>
      </c>
      <c r="Q334" s="6">
        <v>249986</v>
      </c>
      <c r="R334" s="6">
        <v>22101.29</v>
      </c>
      <c r="S334" s="6">
        <v>94057.16</v>
      </c>
      <c r="T334" s="6">
        <v>0</v>
      </c>
    </row>
    <row r="335" spans="1:20">
      <c r="A335" s="5" t="s">
        <v>1672</v>
      </c>
      <c r="B335" s="5" t="s">
        <v>1673</v>
      </c>
      <c r="C335" s="5" t="s">
        <v>1715</v>
      </c>
      <c r="D335" s="5" t="s">
        <v>325</v>
      </c>
      <c r="E335" s="5" t="s">
        <v>1824</v>
      </c>
      <c r="F335" s="5" t="s">
        <v>1825</v>
      </c>
      <c r="G335" s="5" t="s">
        <v>1826</v>
      </c>
      <c r="H335" s="5" t="s">
        <v>1827</v>
      </c>
      <c r="I335" s="5" t="s">
        <v>1873</v>
      </c>
      <c r="J335" s="5" t="s">
        <v>1678</v>
      </c>
      <c r="K335" s="5" t="s">
        <v>1872</v>
      </c>
      <c r="L335" s="5" t="s">
        <v>1680</v>
      </c>
      <c r="M335" s="5" t="s">
        <v>1681</v>
      </c>
      <c r="N335" s="5" t="s">
        <v>1682</v>
      </c>
      <c r="O335" s="5" t="s">
        <v>1680</v>
      </c>
      <c r="P335" s="6">
        <v>133827.54999999999</v>
      </c>
      <c r="Q335" s="6">
        <v>249986</v>
      </c>
      <c r="R335" s="6">
        <v>22101.29</v>
      </c>
      <c r="S335" s="6">
        <v>94057.16</v>
      </c>
      <c r="T335" s="6">
        <v>0</v>
      </c>
    </row>
    <row r="336" spans="1:20">
      <c r="A336" s="5" t="s">
        <v>1672</v>
      </c>
      <c r="B336" s="5" t="s">
        <v>1673</v>
      </c>
      <c r="C336" s="5" t="s">
        <v>1715</v>
      </c>
      <c r="D336" s="5" t="s">
        <v>325</v>
      </c>
      <c r="E336" s="5" t="s">
        <v>1828</v>
      </c>
      <c r="F336" s="5" t="s">
        <v>1829</v>
      </c>
      <c r="G336" s="5" t="s">
        <v>1828</v>
      </c>
      <c r="H336" s="5" t="s">
        <v>1829</v>
      </c>
      <c r="I336" s="5" t="s">
        <v>1873</v>
      </c>
      <c r="J336" s="5" t="s">
        <v>1678</v>
      </c>
      <c r="K336" s="5" t="s">
        <v>1872</v>
      </c>
      <c r="L336" s="5" t="s">
        <v>1680</v>
      </c>
      <c r="M336" s="5" t="s">
        <v>1681</v>
      </c>
      <c r="N336" s="5" t="s">
        <v>1682</v>
      </c>
      <c r="O336" s="5" t="s">
        <v>1680</v>
      </c>
      <c r="P336" s="6">
        <v>133827.54999999999</v>
      </c>
      <c r="Q336" s="6">
        <v>249986</v>
      </c>
      <c r="R336" s="6">
        <v>22101.29</v>
      </c>
      <c r="S336" s="6">
        <v>94057.16</v>
      </c>
      <c r="T336" s="6">
        <v>0</v>
      </c>
    </row>
    <row r="337" spans="1:20">
      <c r="A337" s="5" t="s">
        <v>1672</v>
      </c>
      <c r="B337" s="5" t="s">
        <v>1673</v>
      </c>
      <c r="C337" s="5" t="s">
        <v>1715</v>
      </c>
      <c r="D337" s="5" t="s">
        <v>325</v>
      </c>
      <c r="E337" s="5" t="s">
        <v>1830</v>
      </c>
      <c r="F337" s="5" t="s">
        <v>1831</v>
      </c>
      <c r="G337" s="5" t="s">
        <v>1830</v>
      </c>
      <c r="H337" s="5" t="s">
        <v>1831</v>
      </c>
      <c r="I337" s="5" t="s">
        <v>1873</v>
      </c>
      <c r="J337" s="5" t="s">
        <v>1678</v>
      </c>
      <c r="K337" s="5" t="s">
        <v>1872</v>
      </c>
      <c r="L337" s="5" t="s">
        <v>1680</v>
      </c>
      <c r="M337" s="5" t="s">
        <v>1681</v>
      </c>
      <c r="N337" s="5" t="s">
        <v>1682</v>
      </c>
      <c r="O337" s="5" t="s">
        <v>1680</v>
      </c>
      <c r="P337" s="6">
        <v>133827.54999999999</v>
      </c>
      <c r="Q337" s="6">
        <v>249986</v>
      </c>
      <c r="R337" s="6">
        <v>22101.29</v>
      </c>
      <c r="S337" s="6">
        <v>94057.16</v>
      </c>
      <c r="T337" s="6">
        <v>0</v>
      </c>
    </row>
    <row r="338" spans="1:20">
      <c r="A338" s="5" t="s">
        <v>1672</v>
      </c>
      <c r="B338" s="5" t="s">
        <v>1673</v>
      </c>
      <c r="C338" s="5" t="s">
        <v>1715</v>
      </c>
      <c r="D338" s="5" t="s">
        <v>325</v>
      </c>
      <c r="E338" s="5" t="s">
        <v>1832</v>
      </c>
      <c r="F338" s="5" t="s">
        <v>1833</v>
      </c>
      <c r="G338" s="5" t="s">
        <v>1834</v>
      </c>
      <c r="H338" s="5" t="s">
        <v>1835</v>
      </c>
      <c r="I338" s="5" t="s">
        <v>1873</v>
      </c>
      <c r="J338" s="5" t="s">
        <v>1678</v>
      </c>
      <c r="K338" s="5" t="s">
        <v>1872</v>
      </c>
      <c r="L338" s="5" t="s">
        <v>1680</v>
      </c>
      <c r="M338" s="5" t="s">
        <v>1681</v>
      </c>
      <c r="N338" s="5" t="s">
        <v>1682</v>
      </c>
      <c r="O338" s="5" t="s">
        <v>1680</v>
      </c>
      <c r="P338" s="6">
        <v>133827.54999999999</v>
      </c>
      <c r="Q338" s="6">
        <v>249986</v>
      </c>
      <c r="R338" s="6">
        <v>22101.29</v>
      </c>
      <c r="S338" s="6">
        <v>94057.16</v>
      </c>
      <c r="T338" s="6">
        <v>0</v>
      </c>
    </row>
    <row r="339" spans="1:20">
      <c r="A339" s="5" t="s">
        <v>1672</v>
      </c>
      <c r="B339" s="5" t="s">
        <v>1673</v>
      </c>
      <c r="C339" s="5" t="s">
        <v>1715</v>
      </c>
      <c r="D339" s="5" t="s">
        <v>325</v>
      </c>
      <c r="E339" s="5" t="s">
        <v>1836</v>
      </c>
      <c r="F339" s="5" t="s">
        <v>1837</v>
      </c>
      <c r="G339" s="5" t="s">
        <v>1836</v>
      </c>
      <c r="H339" s="5" t="s">
        <v>1837</v>
      </c>
      <c r="I339" s="5" t="s">
        <v>1873</v>
      </c>
      <c r="J339" s="5" t="s">
        <v>1678</v>
      </c>
      <c r="K339" s="5" t="s">
        <v>1872</v>
      </c>
      <c r="L339" s="5" t="s">
        <v>1680</v>
      </c>
      <c r="M339" s="5" t="s">
        <v>1681</v>
      </c>
      <c r="N339" s="5" t="s">
        <v>1682</v>
      </c>
      <c r="O339" s="5" t="s">
        <v>1680</v>
      </c>
      <c r="P339" s="6">
        <v>133827.54999999999</v>
      </c>
      <c r="Q339" s="6">
        <v>249986</v>
      </c>
      <c r="R339" s="6">
        <v>22101.29</v>
      </c>
      <c r="S339" s="6">
        <v>94057.16</v>
      </c>
      <c r="T339" s="6">
        <v>0</v>
      </c>
    </row>
    <row r="340" spans="1:20">
      <c r="A340" s="5" t="s">
        <v>1672</v>
      </c>
      <c r="B340" s="5" t="s">
        <v>1673</v>
      </c>
      <c r="C340" s="5" t="s">
        <v>1715</v>
      </c>
      <c r="D340" s="5" t="s">
        <v>325</v>
      </c>
      <c r="E340" s="5" t="s">
        <v>1838</v>
      </c>
      <c r="F340" s="5" t="s">
        <v>1839</v>
      </c>
      <c r="G340" s="5" t="s">
        <v>1840</v>
      </c>
      <c r="H340" s="5" t="s">
        <v>1841</v>
      </c>
      <c r="I340" s="5" t="s">
        <v>1873</v>
      </c>
      <c r="J340" s="5" t="s">
        <v>1678</v>
      </c>
      <c r="K340" s="5" t="s">
        <v>1872</v>
      </c>
      <c r="L340" s="5" t="s">
        <v>1680</v>
      </c>
      <c r="M340" s="5" t="s">
        <v>1681</v>
      </c>
      <c r="N340" s="5" t="s">
        <v>1682</v>
      </c>
      <c r="O340" s="5" t="s">
        <v>1680</v>
      </c>
      <c r="P340" s="6">
        <v>133827.54999999999</v>
      </c>
      <c r="Q340" s="6">
        <v>249986</v>
      </c>
      <c r="R340" s="6">
        <v>22101.29</v>
      </c>
      <c r="S340" s="6">
        <v>94057.16</v>
      </c>
      <c r="T340" s="6">
        <v>0</v>
      </c>
    </row>
    <row r="341" spans="1:20">
      <c r="A341" s="5" t="s">
        <v>1672</v>
      </c>
      <c r="B341" s="5" t="s">
        <v>1673</v>
      </c>
      <c r="C341" s="5" t="s">
        <v>1842</v>
      </c>
      <c r="D341" s="5" t="s">
        <v>514</v>
      </c>
      <c r="E341" s="5" t="s">
        <v>1843</v>
      </c>
      <c r="F341" s="5" t="s">
        <v>1844</v>
      </c>
      <c r="G341" s="5" t="s">
        <v>1843</v>
      </c>
      <c r="H341" s="5" t="s">
        <v>1844</v>
      </c>
      <c r="I341" s="5" t="s">
        <v>1873</v>
      </c>
      <c r="J341" s="5" t="s">
        <v>1678</v>
      </c>
      <c r="K341" s="5" t="s">
        <v>1872</v>
      </c>
      <c r="L341" s="5" t="s">
        <v>1680</v>
      </c>
      <c r="M341" s="5" t="s">
        <v>1681</v>
      </c>
      <c r="N341" s="5" t="s">
        <v>1682</v>
      </c>
      <c r="O341" s="5" t="s">
        <v>1680</v>
      </c>
      <c r="P341" s="6">
        <v>29267.360000000001</v>
      </c>
      <c r="Q341" s="6">
        <v>71576</v>
      </c>
      <c r="R341" s="6">
        <v>11884.9</v>
      </c>
      <c r="S341" s="6">
        <v>30423.74</v>
      </c>
      <c r="T341" s="6">
        <v>0</v>
      </c>
    </row>
    <row r="342" spans="1:20">
      <c r="A342" s="5" t="s">
        <v>1672</v>
      </c>
      <c r="B342" s="5" t="s">
        <v>1673</v>
      </c>
      <c r="C342" s="5" t="s">
        <v>1842</v>
      </c>
      <c r="D342" s="5" t="s">
        <v>514</v>
      </c>
      <c r="E342" s="5" t="s">
        <v>1845</v>
      </c>
      <c r="F342" s="5" t="s">
        <v>1846</v>
      </c>
      <c r="G342" s="5" t="s">
        <v>1847</v>
      </c>
      <c r="H342" s="5" t="s">
        <v>1848</v>
      </c>
      <c r="I342" s="5" t="s">
        <v>1873</v>
      </c>
      <c r="J342" s="5" t="s">
        <v>1678</v>
      </c>
      <c r="K342" s="5" t="s">
        <v>1872</v>
      </c>
      <c r="L342" s="5" t="s">
        <v>1680</v>
      </c>
      <c r="M342" s="5" t="s">
        <v>1681</v>
      </c>
      <c r="N342" s="5" t="s">
        <v>1682</v>
      </c>
      <c r="O342" s="5" t="s">
        <v>1680</v>
      </c>
      <c r="P342" s="6">
        <v>29267.360000000001</v>
      </c>
      <c r="Q342" s="6">
        <v>71576</v>
      </c>
      <c r="R342" s="6">
        <v>11884.9</v>
      </c>
      <c r="S342" s="6">
        <v>30423.74</v>
      </c>
      <c r="T342" s="6">
        <v>0</v>
      </c>
    </row>
    <row r="343" spans="1:20">
      <c r="A343" s="5" t="s">
        <v>1672</v>
      </c>
      <c r="B343" s="5" t="s">
        <v>1673</v>
      </c>
      <c r="C343" s="5" t="s">
        <v>1842</v>
      </c>
      <c r="D343" s="5" t="s">
        <v>514</v>
      </c>
      <c r="E343" s="5" t="s">
        <v>1849</v>
      </c>
      <c r="F343" s="5" t="s">
        <v>1850</v>
      </c>
      <c r="G343" s="5" t="s">
        <v>1849</v>
      </c>
      <c r="H343" s="5" t="s">
        <v>1850</v>
      </c>
      <c r="I343" s="5" t="s">
        <v>1873</v>
      </c>
      <c r="J343" s="5" t="s">
        <v>1678</v>
      </c>
      <c r="K343" s="5" t="s">
        <v>1872</v>
      </c>
      <c r="L343" s="5" t="s">
        <v>1680</v>
      </c>
      <c r="M343" s="5" t="s">
        <v>1681</v>
      </c>
      <c r="N343" s="5" t="s">
        <v>1682</v>
      </c>
      <c r="O343" s="5" t="s">
        <v>1680</v>
      </c>
      <c r="P343" s="6">
        <v>29267.360000000001</v>
      </c>
      <c r="Q343" s="6">
        <v>71576</v>
      </c>
      <c r="R343" s="6">
        <v>11884.9</v>
      </c>
      <c r="S343" s="6">
        <v>30423.74</v>
      </c>
      <c r="T343" s="6">
        <v>0</v>
      </c>
    </row>
    <row r="344" spans="1:20">
      <c r="A344" s="5" t="s">
        <v>1672</v>
      </c>
      <c r="B344" s="5" t="s">
        <v>1673</v>
      </c>
      <c r="C344" s="5" t="s">
        <v>1842</v>
      </c>
      <c r="D344" s="5" t="s">
        <v>514</v>
      </c>
      <c r="E344" s="5" t="s">
        <v>1851</v>
      </c>
      <c r="F344" s="5" t="s">
        <v>1852</v>
      </c>
      <c r="G344" s="5" t="s">
        <v>1853</v>
      </c>
      <c r="H344" s="5" t="s">
        <v>1854</v>
      </c>
      <c r="I344" s="5" t="s">
        <v>1873</v>
      </c>
      <c r="J344" s="5" t="s">
        <v>1678</v>
      </c>
      <c r="K344" s="5" t="s">
        <v>1872</v>
      </c>
      <c r="L344" s="5" t="s">
        <v>1680</v>
      </c>
      <c r="M344" s="5" t="s">
        <v>1681</v>
      </c>
      <c r="N344" s="5" t="s">
        <v>1682</v>
      </c>
      <c r="O344" s="5" t="s">
        <v>1680</v>
      </c>
      <c r="P344" s="6">
        <v>29267.360000000001</v>
      </c>
      <c r="Q344" s="6">
        <v>71576</v>
      </c>
      <c r="R344" s="6">
        <v>11884.9</v>
      </c>
      <c r="S344" s="6">
        <v>30423.74</v>
      </c>
      <c r="T344" s="6">
        <v>0</v>
      </c>
    </row>
    <row r="345" spans="1:20">
      <c r="A345" s="5" t="s">
        <v>1672</v>
      </c>
      <c r="B345" s="5" t="s">
        <v>1673</v>
      </c>
      <c r="C345" s="5" t="s">
        <v>1842</v>
      </c>
      <c r="D345" s="5" t="s">
        <v>514</v>
      </c>
      <c r="E345" s="5" t="s">
        <v>1855</v>
      </c>
      <c r="F345" s="5" t="s">
        <v>1856</v>
      </c>
      <c r="G345" s="5" t="s">
        <v>1857</v>
      </c>
      <c r="H345" s="5" t="s">
        <v>1858</v>
      </c>
      <c r="I345" s="5" t="s">
        <v>1873</v>
      </c>
      <c r="J345" s="5" t="s">
        <v>1678</v>
      </c>
      <c r="K345" s="5" t="s">
        <v>1872</v>
      </c>
      <c r="L345" s="5" t="s">
        <v>1680</v>
      </c>
      <c r="M345" s="5" t="s">
        <v>1681</v>
      </c>
      <c r="N345" s="5" t="s">
        <v>1682</v>
      </c>
      <c r="O345" s="5" t="s">
        <v>1680</v>
      </c>
      <c r="P345" s="6">
        <v>29267.360000000001</v>
      </c>
      <c r="Q345" s="6">
        <v>71576</v>
      </c>
      <c r="R345" s="6">
        <v>11884.9</v>
      </c>
      <c r="S345" s="6">
        <v>30423.74</v>
      </c>
      <c r="T345" s="6">
        <v>0</v>
      </c>
    </row>
    <row r="346" spans="1:20">
      <c r="A346" s="5" t="s">
        <v>1672</v>
      </c>
      <c r="B346" s="5" t="s">
        <v>1673</v>
      </c>
      <c r="C346" s="5" t="s">
        <v>1842</v>
      </c>
      <c r="D346" s="5" t="s">
        <v>514</v>
      </c>
      <c r="E346" s="5" t="s">
        <v>1859</v>
      </c>
      <c r="F346" s="5" t="s">
        <v>1860</v>
      </c>
      <c r="G346" s="5" t="s">
        <v>1861</v>
      </c>
      <c r="H346" s="5" t="s">
        <v>1862</v>
      </c>
      <c r="I346" s="5" t="s">
        <v>1873</v>
      </c>
      <c r="J346" s="5" t="s">
        <v>1678</v>
      </c>
      <c r="K346" s="5" t="s">
        <v>1872</v>
      </c>
      <c r="L346" s="5" t="s">
        <v>1680</v>
      </c>
      <c r="M346" s="5" t="s">
        <v>1681</v>
      </c>
      <c r="N346" s="5" t="s">
        <v>1682</v>
      </c>
      <c r="O346" s="5" t="s">
        <v>1680</v>
      </c>
      <c r="P346" s="6">
        <v>29267.360000000001</v>
      </c>
      <c r="Q346" s="6">
        <v>71576</v>
      </c>
      <c r="R346" s="6">
        <v>11884.9</v>
      </c>
      <c r="S346" s="6">
        <v>30423.74</v>
      </c>
      <c r="T346" s="6">
        <v>0</v>
      </c>
    </row>
    <row r="347" spans="1:20">
      <c r="A347" s="5" t="s">
        <v>1672</v>
      </c>
      <c r="B347" s="5" t="s">
        <v>1673</v>
      </c>
      <c r="C347" s="5" t="s">
        <v>1674</v>
      </c>
      <c r="D347" s="5" t="s">
        <v>2</v>
      </c>
      <c r="E347" s="5" t="s">
        <v>1675</v>
      </c>
      <c r="F347" s="5" t="s">
        <v>1676</v>
      </c>
      <c r="G347" s="5" t="s">
        <v>1675</v>
      </c>
      <c r="H347" s="5" t="s">
        <v>1676</v>
      </c>
      <c r="I347" s="5" t="s">
        <v>1874</v>
      </c>
      <c r="J347" s="5" t="s">
        <v>1678</v>
      </c>
      <c r="K347" s="5" t="s">
        <v>1679</v>
      </c>
      <c r="L347" s="5" t="s">
        <v>1680</v>
      </c>
      <c r="M347" s="5" t="s">
        <v>1681</v>
      </c>
      <c r="N347" s="5" t="s">
        <v>1682</v>
      </c>
      <c r="O347" s="5" t="s">
        <v>1680</v>
      </c>
      <c r="P347" s="6">
        <v>1575</v>
      </c>
      <c r="Q347" s="6">
        <v>1575</v>
      </c>
      <c r="R347" s="6">
        <v>0</v>
      </c>
      <c r="S347" s="6">
        <v>0</v>
      </c>
      <c r="T347" s="6">
        <v>0</v>
      </c>
    </row>
    <row r="348" spans="1:20">
      <c r="A348" s="5" t="s">
        <v>1672</v>
      </c>
      <c r="B348" s="5" t="s">
        <v>1673</v>
      </c>
      <c r="C348" s="5" t="s">
        <v>1674</v>
      </c>
      <c r="D348" s="5" t="s">
        <v>2</v>
      </c>
      <c r="E348" s="5" t="s">
        <v>1683</v>
      </c>
      <c r="F348" s="5" t="s">
        <v>1684</v>
      </c>
      <c r="G348" s="5" t="s">
        <v>1683</v>
      </c>
      <c r="H348" s="5" t="s">
        <v>1684</v>
      </c>
      <c r="I348" s="5" t="s">
        <v>1874</v>
      </c>
      <c r="J348" s="5" t="s">
        <v>1678</v>
      </c>
      <c r="K348" s="5" t="s">
        <v>1679</v>
      </c>
      <c r="L348" s="5" t="s">
        <v>1680</v>
      </c>
      <c r="M348" s="5" t="s">
        <v>1681</v>
      </c>
      <c r="N348" s="5" t="s">
        <v>1682</v>
      </c>
      <c r="O348" s="5" t="s">
        <v>1680</v>
      </c>
      <c r="P348" s="6">
        <v>1575</v>
      </c>
      <c r="Q348" s="6">
        <v>1575</v>
      </c>
      <c r="R348" s="6">
        <v>0</v>
      </c>
      <c r="S348" s="6">
        <v>0</v>
      </c>
      <c r="T348" s="6">
        <v>0</v>
      </c>
    </row>
    <row r="349" spans="1:20">
      <c r="A349" s="5" t="s">
        <v>1672</v>
      </c>
      <c r="B349" s="5" t="s">
        <v>1673</v>
      </c>
      <c r="C349" s="5" t="s">
        <v>1674</v>
      </c>
      <c r="D349" s="5" t="s">
        <v>2</v>
      </c>
      <c r="E349" s="5" t="s">
        <v>1685</v>
      </c>
      <c r="F349" s="5" t="s">
        <v>1686</v>
      </c>
      <c r="G349" s="5" t="s">
        <v>1685</v>
      </c>
      <c r="H349" s="5" t="s">
        <v>1686</v>
      </c>
      <c r="I349" s="5" t="s">
        <v>1874</v>
      </c>
      <c r="J349" s="5" t="s">
        <v>1678</v>
      </c>
      <c r="K349" s="5" t="s">
        <v>1679</v>
      </c>
      <c r="L349" s="5" t="s">
        <v>1680</v>
      </c>
      <c r="M349" s="5" t="s">
        <v>1681</v>
      </c>
      <c r="N349" s="5" t="s">
        <v>1682</v>
      </c>
      <c r="O349" s="5" t="s">
        <v>1680</v>
      </c>
      <c r="P349" s="6">
        <v>1575</v>
      </c>
      <c r="Q349" s="6">
        <v>1575</v>
      </c>
      <c r="R349" s="6">
        <v>0</v>
      </c>
      <c r="S349" s="6">
        <v>0</v>
      </c>
      <c r="T349" s="6">
        <v>0</v>
      </c>
    </row>
    <row r="350" spans="1:20">
      <c r="A350" s="5" t="s">
        <v>1672</v>
      </c>
      <c r="B350" s="5" t="s">
        <v>1673</v>
      </c>
      <c r="C350" s="5" t="s">
        <v>1674</v>
      </c>
      <c r="D350" s="5" t="s">
        <v>2</v>
      </c>
      <c r="E350" s="5" t="s">
        <v>1687</v>
      </c>
      <c r="F350" s="5" t="s">
        <v>1688</v>
      </c>
      <c r="G350" s="5" t="s">
        <v>1687</v>
      </c>
      <c r="H350" s="5" t="s">
        <v>1688</v>
      </c>
      <c r="I350" s="5" t="s">
        <v>1874</v>
      </c>
      <c r="J350" s="5" t="s">
        <v>1678</v>
      </c>
      <c r="K350" s="5" t="s">
        <v>1679</v>
      </c>
      <c r="L350" s="5" t="s">
        <v>1680</v>
      </c>
      <c r="M350" s="5" t="s">
        <v>1681</v>
      </c>
      <c r="N350" s="5" t="s">
        <v>1682</v>
      </c>
      <c r="O350" s="5" t="s">
        <v>1680</v>
      </c>
      <c r="P350" s="6">
        <v>1575</v>
      </c>
      <c r="Q350" s="6">
        <v>1575</v>
      </c>
      <c r="R350" s="6">
        <v>0</v>
      </c>
      <c r="S350" s="6">
        <v>0</v>
      </c>
      <c r="T350" s="6">
        <v>0</v>
      </c>
    </row>
    <row r="351" spans="1:20">
      <c r="A351" s="5" t="s">
        <v>1672</v>
      </c>
      <c r="B351" s="5" t="s">
        <v>1673</v>
      </c>
      <c r="C351" s="5" t="s">
        <v>1674</v>
      </c>
      <c r="D351" s="5" t="s">
        <v>2</v>
      </c>
      <c r="E351" s="5" t="s">
        <v>1689</v>
      </c>
      <c r="F351" s="5" t="s">
        <v>1690</v>
      </c>
      <c r="G351" s="5" t="s">
        <v>1689</v>
      </c>
      <c r="H351" s="5" t="s">
        <v>1690</v>
      </c>
      <c r="I351" s="5" t="s">
        <v>1874</v>
      </c>
      <c r="J351" s="5" t="s">
        <v>1678</v>
      </c>
      <c r="K351" s="5" t="s">
        <v>1679</v>
      </c>
      <c r="L351" s="5" t="s">
        <v>1680</v>
      </c>
      <c r="M351" s="5" t="s">
        <v>1681</v>
      </c>
      <c r="N351" s="5" t="s">
        <v>1682</v>
      </c>
      <c r="O351" s="5" t="s">
        <v>1680</v>
      </c>
      <c r="P351" s="6">
        <v>1575</v>
      </c>
      <c r="Q351" s="6">
        <v>1575</v>
      </c>
      <c r="R351" s="6">
        <v>0</v>
      </c>
      <c r="S351" s="6">
        <v>0</v>
      </c>
      <c r="T351" s="6">
        <v>0</v>
      </c>
    </row>
    <row r="352" spans="1:20">
      <c r="A352" s="5" t="s">
        <v>1672</v>
      </c>
      <c r="B352" s="5" t="s">
        <v>1673</v>
      </c>
      <c r="C352" s="5" t="s">
        <v>1674</v>
      </c>
      <c r="D352" s="5" t="s">
        <v>2</v>
      </c>
      <c r="E352" s="5" t="s">
        <v>1691</v>
      </c>
      <c r="F352" s="5" t="s">
        <v>1692</v>
      </c>
      <c r="G352" s="5" t="s">
        <v>1693</v>
      </c>
      <c r="H352" s="5" t="s">
        <v>1694</v>
      </c>
      <c r="I352" s="5" t="s">
        <v>1874</v>
      </c>
      <c r="J352" s="5" t="s">
        <v>1678</v>
      </c>
      <c r="K352" s="5" t="s">
        <v>1679</v>
      </c>
      <c r="L352" s="5" t="s">
        <v>1680</v>
      </c>
      <c r="M352" s="5" t="s">
        <v>1681</v>
      </c>
      <c r="N352" s="5" t="s">
        <v>1682</v>
      </c>
      <c r="O352" s="5" t="s">
        <v>1680</v>
      </c>
      <c r="P352" s="6">
        <v>1575</v>
      </c>
      <c r="Q352" s="6">
        <v>1575</v>
      </c>
      <c r="R352" s="6">
        <v>0</v>
      </c>
      <c r="S352" s="6">
        <v>0</v>
      </c>
      <c r="T352" s="6">
        <v>0</v>
      </c>
    </row>
    <row r="353" spans="1:20">
      <c r="A353" s="5" t="s">
        <v>1672</v>
      </c>
      <c r="B353" s="5" t="s">
        <v>1673</v>
      </c>
      <c r="C353" s="5" t="s">
        <v>1674</v>
      </c>
      <c r="D353" s="5" t="s">
        <v>2</v>
      </c>
      <c r="E353" s="5" t="s">
        <v>1695</v>
      </c>
      <c r="F353" s="5" t="s">
        <v>1696</v>
      </c>
      <c r="G353" s="5" t="s">
        <v>1697</v>
      </c>
      <c r="H353" s="5" t="s">
        <v>1698</v>
      </c>
      <c r="I353" s="5" t="s">
        <v>1874</v>
      </c>
      <c r="J353" s="5" t="s">
        <v>1678</v>
      </c>
      <c r="K353" s="5" t="s">
        <v>1679</v>
      </c>
      <c r="L353" s="5" t="s">
        <v>1680</v>
      </c>
      <c r="M353" s="5" t="s">
        <v>1681</v>
      </c>
      <c r="N353" s="5" t="s">
        <v>1682</v>
      </c>
      <c r="O353" s="5" t="s">
        <v>1680</v>
      </c>
      <c r="P353" s="6">
        <v>1575</v>
      </c>
      <c r="Q353" s="6">
        <v>1575</v>
      </c>
      <c r="R353" s="6">
        <v>0</v>
      </c>
      <c r="S353" s="6">
        <v>0</v>
      </c>
      <c r="T353" s="6">
        <v>0</v>
      </c>
    </row>
    <row r="354" spans="1:20">
      <c r="A354" s="5" t="s">
        <v>1672</v>
      </c>
      <c r="B354" s="5" t="s">
        <v>1673</v>
      </c>
      <c r="C354" s="5" t="s">
        <v>1674</v>
      </c>
      <c r="D354" s="5" t="s">
        <v>2</v>
      </c>
      <c r="E354" s="5" t="s">
        <v>1699</v>
      </c>
      <c r="F354" s="5" t="s">
        <v>1700</v>
      </c>
      <c r="G354" s="5" t="s">
        <v>1699</v>
      </c>
      <c r="H354" s="5" t="s">
        <v>1700</v>
      </c>
      <c r="I354" s="5" t="s">
        <v>1874</v>
      </c>
      <c r="J354" s="5" t="s">
        <v>1678</v>
      </c>
      <c r="K354" s="5" t="s">
        <v>1679</v>
      </c>
      <c r="L354" s="5" t="s">
        <v>1680</v>
      </c>
      <c r="M354" s="5" t="s">
        <v>1681</v>
      </c>
      <c r="N354" s="5" t="s">
        <v>1682</v>
      </c>
      <c r="O354" s="5" t="s">
        <v>1680</v>
      </c>
      <c r="P354" s="6">
        <v>1575</v>
      </c>
      <c r="Q354" s="6">
        <v>1575</v>
      </c>
      <c r="R354" s="6">
        <v>0</v>
      </c>
      <c r="S354" s="6">
        <v>0</v>
      </c>
      <c r="T354" s="6">
        <v>0</v>
      </c>
    </row>
    <row r="355" spans="1:20">
      <c r="A355" s="5" t="s">
        <v>1672</v>
      </c>
      <c r="B355" s="5" t="s">
        <v>1673</v>
      </c>
      <c r="C355" s="5" t="s">
        <v>1674</v>
      </c>
      <c r="D355" s="5" t="s">
        <v>2</v>
      </c>
      <c r="E355" s="5" t="s">
        <v>1701</v>
      </c>
      <c r="F355" s="5" t="s">
        <v>1702</v>
      </c>
      <c r="G355" s="5" t="s">
        <v>1701</v>
      </c>
      <c r="H355" s="5" t="s">
        <v>1702</v>
      </c>
      <c r="I355" s="5" t="s">
        <v>1874</v>
      </c>
      <c r="J355" s="5" t="s">
        <v>1678</v>
      </c>
      <c r="K355" s="5" t="s">
        <v>1679</v>
      </c>
      <c r="L355" s="5" t="s">
        <v>1680</v>
      </c>
      <c r="M355" s="5" t="s">
        <v>1681</v>
      </c>
      <c r="N355" s="5" t="s">
        <v>1682</v>
      </c>
      <c r="O355" s="5" t="s">
        <v>1680</v>
      </c>
      <c r="P355" s="6">
        <v>1575</v>
      </c>
      <c r="Q355" s="6">
        <v>1575</v>
      </c>
      <c r="R355" s="6">
        <v>0</v>
      </c>
      <c r="S355" s="6">
        <v>0</v>
      </c>
      <c r="T355" s="6">
        <v>0</v>
      </c>
    </row>
    <row r="356" spans="1:20">
      <c r="A356" s="5" t="s">
        <v>1672</v>
      </c>
      <c r="B356" s="5" t="s">
        <v>1673</v>
      </c>
      <c r="C356" s="5" t="s">
        <v>1674</v>
      </c>
      <c r="D356" s="5" t="s">
        <v>2</v>
      </c>
      <c r="E356" s="5" t="s">
        <v>1703</v>
      </c>
      <c r="F356" s="5" t="s">
        <v>1704</v>
      </c>
      <c r="G356" s="5" t="s">
        <v>1705</v>
      </c>
      <c r="H356" s="5" t="s">
        <v>1706</v>
      </c>
      <c r="I356" s="5" t="s">
        <v>1874</v>
      </c>
      <c r="J356" s="5" t="s">
        <v>1678</v>
      </c>
      <c r="K356" s="5" t="s">
        <v>1679</v>
      </c>
      <c r="L356" s="5" t="s">
        <v>1680</v>
      </c>
      <c r="M356" s="5" t="s">
        <v>1681</v>
      </c>
      <c r="N356" s="5" t="s">
        <v>1682</v>
      </c>
      <c r="O356" s="5" t="s">
        <v>1680</v>
      </c>
      <c r="P356" s="6">
        <v>1575</v>
      </c>
      <c r="Q356" s="6">
        <v>1575</v>
      </c>
      <c r="R356" s="6">
        <v>0</v>
      </c>
      <c r="S356" s="6">
        <v>0</v>
      </c>
      <c r="T356" s="6">
        <v>0</v>
      </c>
    </row>
    <row r="357" spans="1:20">
      <c r="A357" s="5" t="s">
        <v>1672</v>
      </c>
      <c r="B357" s="5" t="s">
        <v>1673</v>
      </c>
      <c r="C357" s="5" t="s">
        <v>1674</v>
      </c>
      <c r="D357" s="5" t="s">
        <v>2</v>
      </c>
      <c r="E357" s="5" t="s">
        <v>1707</v>
      </c>
      <c r="F357" s="5" t="s">
        <v>1708</v>
      </c>
      <c r="G357" s="5" t="s">
        <v>1707</v>
      </c>
      <c r="H357" s="5" t="s">
        <v>1708</v>
      </c>
      <c r="I357" s="5" t="s">
        <v>1874</v>
      </c>
      <c r="J357" s="5" t="s">
        <v>1678</v>
      </c>
      <c r="K357" s="5" t="s">
        <v>1679</v>
      </c>
      <c r="L357" s="5" t="s">
        <v>1680</v>
      </c>
      <c r="M357" s="5" t="s">
        <v>1681</v>
      </c>
      <c r="N357" s="5" t="s">
        <v>1682</v>
      </c>
      <c r="O357" s="5" t="s">
        <v>1680</v>
      </c>
      <c r="P357" s="6">
        <v>1575</v>
      </c>
      <c r="Q357" s="6">
        <v>1575</v>
      </c>
      <c r="R357" s="6">
        <v>0</v>
      </c>
      <c r="S357" s="6">
        <v>0</v>
      </c>
      <c r="T357" s="6">
        <v>0</v>
      </c>
    </row>
    <row r="358" spans="1:20">
      <c r="A358" s="5" t="s">
        <v>1672</v>
      </c>
      <c r="B358" s="5" t="s">
        <v>1673</v>
      </c>
      <c r="C358" s="5" t="s">
        <v>1674</v>
      </c>
      <c r="D358" s="5" t="s">
        <v>2</v>
      </c>
      <c r="E358" s="5" t="s">
        <v>1709</v>
      </c>
      <c r="F358" s="5" t="s">
        <v>1710</v>
      </c>
      <c r="G358" s="5" t="s">
        <v>1709</v>
      </c>
      <c r="H358" s="5" t="s">
        <v>1710</v>
      </c>
      <c r="I358" s="5" t="s">
        <v>1874</v>
      </c>
      <c r="J358" s="5" t="s">
        <v>1678</v>
      </c>
      <c r="K358" s="5" t="s">
        <v>1679</v>
      </c>
      <c r="L358" s="5" t="s">
        <v>1680</v>
      </c>
      <c r="M358" s="5" t="s">
        <v>1681</v>
      </c>
      <c r="N358" s="5" t="s">
        <v>1682</v>
      </c>
      <c r="O358" s="5" t="s">
        <v>1680</v>
      </c>
      <c r="P358" s="6">
        <v>1575</v>
      </c>
      <c r="Q358" s="6">
        <v>1575</v>
      </c>
      <c r="R358" s="6">
        <v>0</v>
      </c>
      <c r="S358" s="6">
        <v>0</v>
      </c>
      <c r="T358" s="6">
        <v>0</v>
      </c>
    </row>
    <row r="359" spans="1:20">
      <c r="A359" s="5" t="s">
        <v>1672</v>
      </c>
      <c r="B359" s="5" t="s">
        <v>1673</v>
      </c>
      <c r="C359" s="5" t="s">
        <v>1674</v>
      </c>
      <c r="D359" s="5" t="s">
        <v>2</v>
      </c>
      <c r="E359" s="5" t="s">
        <v>1711</v>
      </c>
      <c r="F359" s="5" t="s">
        <v>1712</v>
      </c>
      <c r="G359" s="5" t="s">
        <v>1711</v>
      </c>
      <c r="H359" s="5" t="s">
        <v>1712</v>
      </c>
      <c r="I359" s="5" t="s">
        <v>1874</v>
      </c>
      <c r="J359" s="5" t="s">
        <v>1678</v>
      </c>
      <c r="K359" s="5" t="s">
        <v>1679</v>
      </c>
      <c r="L359" s="5" t="s">
        <v>1680</v>
      </c>
      <c r="M359" s="5" t="s">
        <v>1681</v>
      </c>
      <c r="N359" s="5" t="s">
        <v>1682</v>
      </c>
      <c r="O359" s="5" t="s">
        <v>1680</v>
      </c>
      <c r="P359" s="6">
        <v>1575</v>
      </c>
      <c r="Q359" s="6">
        <v>1575</v>
      </c>
      <c r="R359" s="6">
        <v>0</v>
      </c>
      <c r="S359" s="6">
        <v>0</v>
      </c>
      <c r="T359" s="6">
        <v>0</v>
      </c>
    </row>
    <row r="360" spans="1:20">
      <c r="A360" s="5" t="s">
        <v>1672</v>
      </c>
      <c r="B360" s="5" t="s">
        <v>1673</v>
      </c>
      <c r="C360" s="5" t="s">
        <v>1674</v>
      </c>
      <c r="D360" s="5" t="s">
        <v>2</v>
      </c>
      <c r="E360" s="5" t="s">
        <v>1713</v>
      </c>
      <c r="F360" s="5" t="s">
        <v>1714</v>
      </c>
      <c r="G360" s="5" t="s">
        <v>1713</v>
      </c>
      <c r="H360" s="5" t="s">
        <v>1714</v>
      </c>
      <c r="I360" s="5" t="s">
        <v>1874</v>
      </c>
      <c r="J360" s="5" t="s">
        <v>1678</v>
      </c>
      <c r="K360" s="5" t="s">
        <v>1679</v>
      </c>
      <c r="L360" s="5" t="s">
        <v>1680</v>
      </c>
      <c r="M360" s="5" t="s">
        <v>1681</v>
      </c>
      <c r="N360" s="5" t="s">
        <v>1682</v>
      </c>
      <c r="O360" s="5" t="s">
        <v>1680</v>
      </c>
      <c r="P360" s="6">
        <v>1575</v>
      </c>
      <c r="Q360" s="6">
        <v>1575</v>
      </c>
      <c r="R360" s="6">
        <v>0</v>
      </c>
      <c r="S360" s="6">
        <v>0</v>
      </c>
      <c r="T360" s="6">
        <v>0</v>
      </c>
    </row>
    <row r="361" spans="1:20">
      <c r="A361" s="5" t="s">
        <v>1672</v>
      </c>
      <c r="B361" s="5" t="s">
        <v>1673</v>
      </c>
      <c r="C361" s="5" t="s">
        <v>1864</v>
      </c>
      <c r="D361" s="5" t="s">
        <v>309</v>
      </c>
      <c r="E361" s="5" t="s">
        <v>1865</v>
      </c>
      <c r="F361" s="5" t="s">
        <v>1866</v>
      </c>
      <c r="G361" s="5" t="s">
        <v>1865</v>
      </c>
      <c r="H361" s="5" t="s">
        <v>1866</v>
      </c>
      <c r="I361" s="5" t="s">
        <v>1874</v>
      </c>
      <c r="J361" s="5" t="s">
        <v>1678</v>
      </c>
      <c r="K361" s="5" t="s">
        <v>1679</v>
      </c>
      <c r="L361" s="5" t="s">
        <v>1680</v>
      </c>
      <c r="M361" s="5" t="s">
        <v>1681</v>
      </c>
      <c r="N361" s="5" t="s">
        <v>1682</v>
      </c>
      <c r="O361" s="5" t="s">
        <v>1680</v>
      </c>
      <c r="P361" s="6">
        <v>2228</v>
      </c>
      <c r="Q361" s="6">
        <v>2228</v>
      </c>
      <c r="R361" s="6">
        <v>0</v>
      </c>
      <c r="S361" s="6">
        <v>0</v>
      </c>
      <c r="T361" s="6">
        <v>0</v>
      </c>
    </row>
    <row r="362" spans="1:20">
      <c r="A362" s="5" t="s">
        <v>1672</v>
      </c>
      <c r="B362" s="5" t="s">
        <v>1673</v>
      </c>
      <c r="C362" s="5" t="s">
        <v>1864</v>
      </c>
      <c r="D362" s="5" t="s">
        <v>309</v>
      </c>
      <c r="E362" s="5" t="s">
        <v>1867</v>
      </c>
      <c r="F362" s="5" t="s">
        <v>1868</v>
      </c>
      <c r="G362" s="5" t="s">
        <v>1867</v>
      </c>
      <c r="H362" s="5" t="s">
        <v>1868</v>
      </c>
      <c r="I362" s="5" t="s">
        <v>1874</v>
      </c>
      <c r="J362" s="5" t="s">
        <v>1678</v>
      </c>
      <c r="K362" s="5" t="s">
        <v>1679</v>
      </c>
      <c r="L362" s="5" t="s">
        <v>1680</v>
      </c>
      <c r="M362" s="5" t="s">
        <v>1681</v>
      </c>
      <c r="N362" s="5" t="s">
        <v>1682</v>
      </c>
      <c r="O362" s="5" t="s">
        <v>1680</v>
      </c>
      <c r="P362" s="6">
        <v>2228</v>
      </c>
      <c r="Q362" s="6">
        <v>2228</v>
      </c>
      <c r="R362" s="6">
        <v>0</v>
      </c>
      <c r="S362" s="6">
        <v>0</v>
      </c>
      <c r="T362" s="6">
        <v>0</v>
      </c>
    </row>
    <row r="363" spans="1:20">
      <c r="A363" s="5" t="s">
        <v>1672</v>
      </c>
      <c r="B363" s="5" t="s">
        <v>1673</v>
      </c>
      <c r="C363" s="5" t="s">
        <v>1715</v>
      </c>
      <c r="D363" s="5" t="s">
        <v>325</v>
      </c>
      <c r="E363" s="5" t="s">
        <v>1716</v>
      </c>
      <c r="F363" s="5" t="s">
        <v>1717</v>
      </c>
      <c r="G363" s="5" t="s">
        <v>1716</v>
      </c>
      <c r="H363" s="5" t="s">
        <v>1717</v>
      </c>
      <c r="I363" s="5" t="s">
        <v>1874</v>
      </c>
      <c r="J363" s="5" t="s">
        <v>1678</v>
      </c>
      <c r="K363" s="5" t="s">
        <v>1679</v>
      </c>
      <c r="L363" s="5" t="s">
        <v>1680</v>
      </c>
      <c r="M363" s="5" t="s">
        <v>1681</v>
      </c>
      <c r="N363" s="5" t="s">
        <v>1682</v>
      </c>
      <c r="O363" s="5" t="s">
        <v>1680</v>
      </c>
      <c r="P363" s="6">
        <v>6775.87</v>
      </c>
      <c r="Q363" s="6">
        <v>12957</v>
      </c>
      <c r="R363" s="6">
        <v>0</v>
      </c>
      <c r="S363" s="6">
        <v>6181.13</v>
      </c>
      <c r="T363" s="6">
        <v>0</v>
      </c>
    </row>
    <row r="364" spans="1:20">
      <c r="A364" s="5" t="s">
        <v>1672</v>
      </c>
      <c r="B364" s="5" t="s">
        <v>1673</v>
      </c>
      <c r="C364" s="5" t="s">
        <v>1715</v>
      </c>
      <c r="D364" s="5" t="s">
        <v>325</v>
      </c>
      <c r="E364" s="5" t="s">
        <v>1718</v>
      </c>
      <c r="F364" s="5" t="s">
        <v>1719</v>
      </c>
      <c r="G364" s="5" t="s">
        <v>1718</v>
      </c>
      <c r="H364" s="5" t="s">
        <v>1719</v>
      </c>
      <c r="I364" s="5" t="s">
        <v>1874</v>
      </c>
      <c r="J364" s="5" t="s">
        <v>1678</v>
      </c>
      <c r="K364" s="5" t="s">
        <v>1679</v>
      </c>
      <c r="L364" s="5" t="s">
        <v>1680</v>
      </c>
      <c r="M364" s="5" t="s">
        <v>1681</v>
      </c>
      <c r="N364" s="5" t="s">
        <v>1682</v>
      </c>
      <c r="O364" s="5" t="s">
        <v>1680</v>
      </c>
      <c r="P364" s="6">
        <v>6775.87</v>
      </c>
      <c r="Q364" s="6">
        <v>12957</v>
      </c>
      <c r="R364" s="6">
        <v>0</v>
      </c>
      <c r="S364" s="6">
        <v>6181.13</v>
      </c>
      <c r="T364" s="6">
        <v>0</v>
      </c>
    </row>
    <row r="365" spans="1:20">
      <c r="A365" s="5" t="s">
        <v>1672</v>
      </c>
      <c r="B365" s="5" t="s">
        <v>1673</v>
      </c>
      <c r="C365" s="5" t="s">
        <v>1715</v>
      </c>
      <c r="D365" s="5" t="s">
        <v>325</v>
      </c>
      <c r="E365" s="5" t="s">
        <v>1720</v>
      </c>
      <c r="F365" s="5" t="s">
        <v>1721</v>
      </c>
      <c r="G365" s="5" t="s">
        <v>1720</v>
      </c>
      <c r="H365" s="5" t="s">
        <v>1721</v>
      </c>
      <c r="I365" s="5" t="s">
        <v>1874</v>
      </c>
      <c r="J365" s="5" t="s">
        <v>1678</v>
      </c>
      <c r="K365" s="5" t="s">
        <v>1679</v>
      </c>
      <c r="L365" s="5" t="s">
        <v>1680</v>
      </c>
      <c r="M365" s="5" t="s">
        <v>1681</v>
      </c>
      <c r="N365" s="5" t="s">
        <v>1682</v>
      </c>
      <c r="O365" s="5" t="s">
        <v>1680</v>
      </c>
      <c r="P365" s="6">
        <v>6775.87</v>
      </c>
      <c r="Q365" s="6">
        <v>12957</v>
      </c>
      <c r="R365" s="6">
        <v>0</v>
      </c>
      <c r="S365" s="6">
        <v>6181.13</v>
      </c>
      <c r="T365" s="6">
        <v>0</v>
      </c>
    </row>
    <row r="366" spans="1:20">
      <c r="A366" s="5" t="s">
        <v>1672</v>
      </c>
      <c r="B366" s="5" t="s">
        <v>1673</v>
      </c>
      <c r="C366" s="5" t="s">
        <v>1715</v>
      </c>
      <c r="D366" s="5" t="s">
        <v>325</v>
      </c>
      <c r="E366" s="5" t="s">
        <v>1722</v>
      </c>
      <c r="F366" s="5" t="s">
        <v>1723</v>
      </c>
      <c r="G366" s="5" t="s">
        <v>1724</v>
      </c>
      <c r="H366" s="5" t="s">
        <v>1725</v>
      </c>
      <c r="I366" s="5" t="s">
        <v>1874</v>
      </c>
      <c r="J366" s="5" t="s">
        <v>1678</v>
      </c>
      <c r="K366" s="5" t="s">
        <v>1679</v>
      </c>
      <c r="L366" s="5" t="s">
        <v>1680</v>
      </c>
      <c r="M366" s="5" t="s">
        <v>1681</v>
      </c>
      <c r="N366" s="5" t="s">
        <v>1682</v>
      </c>
      <c r="O366" s="5" t="s">
        <v>1680</v>
      </c>
      <c r="P366" s="6">
        <v>6775.87</v>
      </c>
      <c r="Q366" s="6">
        <v>12957</v>
      </c>
      <c r="R366" s="6">
        <v>0</v>
      </c>
      <c r="S366" s="6">
        <v>6181.13</v>
      </c>
      <c r="T366" s="6">
        <v>0</v>
      </c>
    </row>
    <row r="367" spans="1:20">
      <c r="A367" s="5" t="s">
        <v>1672</v>
      </c>
      <c r="B367" s="5" t="s">
        <v>1673</v>
      </c>
      <c r="C367" s="5" t="s">
        <v>1715</v>
      </c>
      <c r="D367" s="5" t="s">
        <v>325</v>
      </c>
      <c r="E367" s="5" t="s">
        <v>1726</v>
      </c>
      <c r="F367" s="5" t="s">
        <v>1727</v>
      </c>
      <c r="G367" s="5" t="s">
        <v>1726</v>
      </c>
      <c r="H367" s="5" t="s">
        <v>1727</v>
      </c>
      <c r="I367" s="5" t="s">
        <v>1874</v>
      </c>
      <c r="J367" s="5" t="s">
        <v>1678</v>
      </c>
      <c r="K367" s="5" t="s">
        <v>1679</v>
      </c>
      <c r="L367" s="5" t="s">
        <v>1680</v>
      </c>
      <c r="M367" s="5" t="s">
        <v>1681</v>
      </c>
      <c r="N367" s="5" t="s">
        <v>1682</v>
      </c>
      <c r="O367" s="5" t="s">
        <v>1680</v>
      </c>
      <c r="P367" s="6">
        <v>6775.87</v>
      </c>
      <c r="Q367" s="6">
        <v>12957</v>
      </c>
      <c r="R367" s="6">
        <v>0</v>
      </c>
      <c r="S367" s="6">
        <v>6181.13</v>
      </c>
      <c r="T367" s="6">
        <v>0</v>
      </c>
    </row>
    <row r="368" spans="1:20">
      <c r="A368" s="5" t="s">
        <v>1672</v>
      </c>
      <c r="B368" s="5" t="s">
        <v>1673</v>
      </c>
      <c r="C368" s="5" t="s">
        <v>1715</v>
      </c>
      <c r="D368" s="5" t="s">
        <v>325</v>
      </c>
      <c r="E368" s="5" t="s">
        <v>1728</v>
      </c>
      <c r="F368" s="5" t="s">
        <v>1729</v>
      </c>
      <c r="G368" s="5" t="s">
        <v>1728</v>
      </c>
      <c r="H368" s="5" t="s">
        <v>1729</v>
      </c>
      <c r="I368" s="5" t="s">
        <v>1874</v>
      </c>
      <c r="J368" s="5" t="s">
        <v>1678</v>
      </c>
      <c r="K368" s="5" t="s">
        <v>1679</v>
      </c>
      <c r="L368" s="5" t="s">
        <v>1680</v>
      </c>
      <c r="M368" s="5" t="s">
        <v>1681</v>
      </c>
      <c r="N368" s="5" t="s">
        <v>1682</v>
      </c>
      <c r="O368" s="5" t="s">
        <v>1680</v>
      </c>
      <c r="P368" s="6">
        <v>6775.87</v>
      </c>
      <c r="Q368" s="6">
        <v>12957</v>
      </c>
      <c r="R368" s="6">
        <v>0</v>
      </c>
      <c r="S368" s="6">
        <v>6181.13</v>
      </c>
      <c r="T368" s="6">
        <v>0</v>
      </c>
    </row>
    <row r="369" spans="1:20">
      <c r="A369" s="5" t="s">
        <v>1672</v>
      </c>
      <c r="B369" s="5" t="s">
        <v>1673</v>
      </c>
      <c r="C369" s="5" t="s">
        <v>1715</v>
      </c>
      <c r="D369" s="5" t="s">
        <v>325</v>
      </c>
      <c r="E369" s="5" t="s">
        <v>1730</v>
      </c>
      <c r="F369" s="5" t="s">
        <v>1731</v>
      </c>
      <c r="G369" s="5" t="s">
        <v>1730</v>
      </c>
      <c r="H369" s="5" t="s">
        <v>1731</v>
      </c>
      <c r="I369" s="5" t="s">
        <v>1874</v>
      </c>
      <c r="J369" s="5" t="s">
        <v>1678</v>
      </c>
      <c r="K369" s="5" t="s">
        <v>1679</v>
      </c>
      <c r="L369" s="5" t="s">
        <v>1680</v>
      </c>
      <c r="M369" s="5" t="s">
        <v>1681</v>
      </c>
      <c r="N369" s="5" t="s">
        <v>1682</v>
      </c>
      <c r="O369" s="5" t="s">
        <v>1680</v>
      </c>
      <c r="P369" s="6">
        <v>6775.87</v>
      </c>
      <c r="Q369" s="6">
        <v>12957</v>
      </c>
      <c r="R369" s="6">
        <v>0</v>
      </c>
      <c r="S369" s="6">
        <v>6181.13</v>
      </c>
      <c r="T369" s="6">
        <v>0</v>
      </c>
    </row>
    <row r="370" spans="1:20">
      <c r="A370" s="5" t="s">
        <v>1672</v>
      </c>
      <c r="B370" s="5" t="s">
        <v>1673</v>
      </c>
      <c r="C370" s="5" t="s">
        <v>1715</v>
      </c>
      <c r="D370" s="5" t="s">
        <v>325</v>
      </c>
      <c r="E370" s="5" t="s">
        <v>1732</v>
      </c>
      <c r="F370" s="5" t="s">
        <v>1733</v>
      </c>
      <c r="G370" s="5" t="s">
        <v>1732</v>
      </c>
      <c r="H370" s="5" t="s">
        <v>1733</v>
      </c>
      <c r="I370" s="5" t="s">
        <v>1874</v>
      </c>
      <c r="J370" s="5" t="s">
        <v>1678</v>
      </c>
      <c r="K370" s="5" t="s">
        <v>1679</v>
      </c>
      <c r="L370" s="5" t="s">
        <v>1680</v>
      </c>
      <c r="M370" s="5" t="s">
        <v>1681</v>
      </c>
      <c r="N370" s="5" t="s">
        <v>1682</v>
      </c>
      <c r="O370" s="5" t="s">
        <v>1680</v>
      </c>
      <c r="P370" s="6">
        <v>6775.87</v>
      </c>
      <c r="Q370" s="6">
        <v>12957</v>
      </c>
      <c r="R370" s="6">
        <v>0</v>
      </c>
      <c r="S370" s="6">
        <v>6181.13</v>
      </c>
      <c r="T370" s="6">
        <v>0</v>
      </c>
    </row>
    <row r="371" spans="1:20">
      <c r="A371" s="5" t="s">
        <v>1672</v>
      </c>
      <c r="B371" s="5" t="s">
        <v>1673</v>
      </c>
      <c r="C371" s="5" t="s">
        <v>1715</v>
      </c>
      <c r="D371" s="5" t="s">
        <v>325</v>
      </c>
      <c r="E371" s="5" t="s">
        <v>1734</v>
      </c>
      <c r="F371" s="5" t="s">
        <v>1735</v>
      </c>
      <c r="G371" s="5" t="s">
        <v>1734</v>
      </c>
      <c r="H371" s="5" t="s">
        <v>1735</v>
      </c>
      <c r="I371" s="5" t="s">
        <v>1874</v>
      </c>
      <c r="J371" s="5" t="s">
        <v>1678</v>
      </c>
      <c r="K371" s="5" t="s">
        <v>1679</v>
      </c>
      <c r="L371" s="5" t="s">
        <v>1680</v>
      </c>
      <c r="M371" s="5" t="s">
        <v>1681</v>
      </c>
      <c r="N371" s="5" t="s">
        <v>1682</v>
      </c>
      <c r="O371" s="5" t="s">
        <v>1680</v>
      </c>
      <c r="P371" s="6">
        <v>6775.87</v>
      </c>
      <c r="Q371" s="6">
        <v>12957</v>
      </c>
      <c r="R371" s="6">
        <v>0</v>
      </c>
      <c r="S371" s="6">
        <v>6181.13</v>
      </c>
      <c r="T371" s="6">
        <v>0</v>
      </c>
    </row>
    <row r="372" spans="1:20">
      <c r="A372" s="5" t="s">
        <v>1672</v>
      </c>
      <c r="B372" s="5" t="s">
        <v>1673</v>
      </c>
      <c r="C372" s="5" t="s">
        <v>1715</v>
      </c>
      <c r="D372" s="5" t="s">
        <v>325</v>
      </c>
      <c r="E372" s="5" t="s">
        <v>1736</v>
      </c>
      <c r="F372" s="5" t="s">
        <v>1737</v>
      </c>
      <c r="G372" s="5" t="s">
        <v>1738</v>
      </c>
      <c r="H372" s="5" t="s">
        <v>1739</v>
      </c>
      <c r="I372" s="5" t="s">
        <v>1874</v>
      </c>
      <c r="J372" s="5" t="s">
        <v>1678</v>
      </c>
      <c r="K372" s="5" t="s">
        <v>1679</v>
      </c>
      <c r="L372" s="5" t="s">
        <v>1680</v>
      </c>
      <c r="M372" s="5" t="s">
        <v>1681</v>
      </c>
      <c r="N372" s="5" t="s">
        <v>1682</v>
      </c>
      <c r="O372" s="5" t="s">
        <v>1680</v>
      </c>
      <c r="P372" s="6">
        <v>6775.87</v>
      </c>
      <c r="Q372" s="6">
        <v>12957</v>
      </c>
      <c r="R372" s="6">
        <v>0</v>
      </c>
      <c r="S372" s="6">
        <v>6181.13</v>
      </c>
      <c r="T372" s="6">
        <v>0</v>
      </c>
    </row>
    <row r="373" spans="1:20">
      <c r="A373" s="5" t="s">
        <v>1672</v>
      </c>
      <c r="B373" s="5" t="s">
        <v>1673</v>
      </c>
      <c r="C373" s="5" t="s">
        <v>1715</v>
      </c>
      <c r="D373" s="5" t="s">
        <v>325</v>
      </c>
      <c r="E373" s="5" t="s">
        <v>1740</v>
      </c>
      <c r="F373" s="5" t="s">
        <v>1741</v>
      </c>
      <c r="G373" s="5" t="s">
        <v>1740</v>
      </c>
      <c r="H373" s="5" t="s">
        <v>1741</v>
      </c>
      <c r="I373" s="5" t="s">
        <v>1874</v>
      </c>
      <c r="J373" s="5" t="s">
        <v>1678</v>
      </c>
      <c r="K373" s="5" t="s">
        <v>1679</v>
      </c>
      <c r="L373" s="5" t="s">
        <v>1680</v>
      </c>
      <c r="M373" s="5" t="s">
        <v>1681</v>
      </c>
      <c r="N373" s="5" t="s">
        <v>1682</v>
      </c>
      <c r="O373" s="5" t="s">
        <v>1680</v>
      </c>
      <c r="P373" s="6">
        <v>6775.87</v>
      </c>
      <c r="Q373" s="6">
        <v>12957</v>
      </c>
      <c r="R373" s="6">
        <v>0</v>
      </c>
      <c r="S373" s="6">
        <v>6181.13</v>
      </c>
      <c r="T373" s="6">
        <v>0</v>
      </c>
    </row>
    <row r="374" spans="1:20">
      <c r="A374" s="5" t="s">
        <v>1672</v>
      </c>
      <c r="B374" s="5" t="s">
        <v>1673</v>
      </c>
      <c r="C374" s="5" t="s">
        <v>1715</v>
      </c>
      <c r="D374" s="5" t="s">
        <v>325</v>
      </c>
      <c r="E374" s="5" t="s">
        <v>1742</v>
      </c>
      <c r="F374" s="5" t="s">
        <v>1743</v>
      </c>
      <c r="G374" s="5" t="s">
        <v>1744</v>
      </c>
      <c r="H374" s="5" t="s">
        <v>1745</v>
      </c>
      <c r="I374" s="5" t="s">
        <v>1874</v>
      </c>
      <c r="J374" s="5" t="s">
        <v>1678</v>
      </c>
      <c r="K374" s="5" t="s">
        <v>1679</v>
      </c>
      <c r="L374" s="5" t="s">
        <v>1680</v>
      </c>
      <c r="M374" s="5" t="s">
        <v>1681</v>
      </c>
      <c r="N374" s="5" t="s">
        <v>1682</v>
      </c>
      <c r="O374" s="5" t="s">
        <v>1680</v>
      </c>
      <c r="P374" s="6">
        <v>6775.87</v>
      </c>
      <c r="Q374" s="6">
        <v>12957</v>
      </c>
      <c r="R374" s="6">
        <v>0</v>
      </c>
      <c r="S374" s="6">
        <v>6181.13</v>
      </c>
      <c r="T374" s="6">
        <v>0</v>
      </c>
    </row>
    <row r="375" spans="1:20">
      <c r="A375" s="5" t="s">
        <v>1672</v>
      </c>
      <c r="B375" s="5" t="s">
        <v>1673</v>
      </c>
      <c r="C375" s="5" t="s">
        <v>1715</v>
      </c>
      <c r="D375" s="5" t="s">
        <v>325</v>
      </c>
      <c r="E375" s="5" t="s">
        <v>1746</v>
      </c>
      <c r="F375" s="5" t="s">
        <v>1747</v>
      </c>
      <c r="G375" s="5" t="s">
        <v>1748</v>
      </c>
      <c r="H375" s="5" t="s">
        <v>1749</v>
      </c>
      <c r="I375" s="5" t="s">
        <v>1874</v>
      </c>
      <c r="J375" s="5" t="s">
        <v>1678</v>
      </c>
      <c r="K375" s="5" t="s">
        <v>1679</v>
      </c>
      <c r="L375" s="5" t="s">
        <v>1680</v>
      </c>
      <c r="M375" s="5" t="s">
        <v>1681</v>
      </c>
      <c r="N375" s="5" t="s">
        <v>1682</v>
      </c>
      <c r="O375" s="5" t="s">
        <v>1680</v>
      </c>
      <c r="P375" s="6">
        <v>6775.87</v>
      </c>
      <c r="Q375" s="6">
        <v>12957</v>
      </c>
      <c r="R375" s="6">
        <v>0</v>
      </c>
      <c r="S375" s="6">
        <v>6181.13</v>
      </c>
      <c r="T375" s="6">
        <v>0</v>
      </c>
    </row>
    <row r="376" spans="1:20">
      <c r="A376" s="5" t="s">
        <v>1672</v>
      </c>
      <c r="B376" s="5" t="s">
        <v>1673</v>
      </c>
      <c r="C376" s="5" t="s">
        <v>1715</v>
      </c>
      <c r="D376" s="5" t="s">
        <v>325</v>
      </c>
      <c r="E376" s="5" t="s">
        <v>1750</v>
      </c>
      <c r="F376" s="5" t="s">
        <v>1751</v>
      </c>
      <c r="G376" s="5" t="s">
        <v>1752</v>
      </c>
      <c r="H376" s="5" t="s">
        <v>1753</v>
      </c>
      <c r="I376" s="5" t="s">
        <v>1874</v>
      </c>
      <c r="J376" s="5" t="s">
        <v>1678</v>
      </c>
      <c r="K376" s="5" t="s">
        <v>1679</v>
      </c>
      <c r="L376" s="5" t="s">
        <v>1680</v>
      </c>
      <c r="M376" s="5" t="s">
        <v>1681</v>
      </c>
      <c r="N376" s="5" t="s">
        <v>1682</v>
      </c>
      <c r="O376" s="5" t="s">
        <v>1680</v>
      </c>
      <c r="P376" s="6">
        <v>6775.87</v>
      </c>
      <c r="Q376" s="6">
        <v>12957</v>
      </c>
      <c r="R376" s="6">
        <v>0</v>
      </c>
      <c r="S376" s="6">
        <v>6181.13</v>
      </c>
      <c r="T376" s="6">
        <v>0</v>
      </c>
    </row>
    <row r="377" spans="1:20">
      <c r="A377" s="5" t="s">
        <v>1672</v>
      </c>
      <c r="B377" s="5" t="s">
        <v>1673</v>
      </c>
      <c r="C377" s="5" t="s">
        <v>1715</v>
      </c>
      <c r="D377" s="5" t="s">
        <v>325</v>
      </c>
      <c r="E377" s="5" t="s">
        <v>1754</v>
      </c>
      <c r="F377" s="5" t="s">
        <v>1755</v>
      </c>
      <c r="G377" s="5" t="s">
        <v>1756</v>
      </c>
      <c r="H377" s="5" t="s">
        <v>1757</v>
      </c>
      <c r="I377" s="5" t="s">
        <v>1874</v>
      </c>
      <c r="J377" s="5" t="s">
        <v>1678</v>
      </c>
      <c r="K377" s="5" t="s">
        <v>1679</v>
      </c>
      <c r="L377" s="5" t="s">
        <v>1680</v>
      </c>
      <c r="M377" s="5" t="s">
        <v>1681</v>
      </c>
      <c r="N377" s="5" t="s">
        <v>1682</v>
      </c>
      <c r="O377" s="5" t="s">
        <v>1680</v>
      </c>
      <c r="P377" s="6">
        <v>6775.87</v>
      </c>
      <c r="Q377" s="6">
        <v>12957</v>
      </c>
      <c r="R377" s="6">
        <v>0</v>
      </c>
      <c r="S377" s="6">
        <v>6181.13</v>
      </c>
      <c r="T377" s="6">
        <v>0</v>
      </c>
    </row>
    <row r="378" spans="1:20">
      <c r="A378" s="5" t="s">
        <v>1672</v>
      </c>
      <c r="B378" s="5" t="s">
        <v>1673</v>
      </c>
      <c r="C378" s="5" t="s">
        <v>1715</v>
      </c>
      <c r="D378" s="5" t="s">
        <v>325</v>
      </c>
      <c r="E378" s="5" t="s">
        <v>1758</v>
      </c>
      <c r="F378" s="5" t="s">
        <v>1759</v>
      </c>
      <c r="G378" s="5" t="s">
        <v>1758</v>
      </c>
      <c r="H378" s="5" t="s">
        <v>1759</v>
      </c>
      <c r="I378" s="5" t="s">
        <v>1874</v>
      </c>
      <c r="J378" s="5" t="s">
        <v>1678</v>
      </c>
      <c r="K378" s="5" t="s">
        <v>1679</v>
      </c>
      <c r="L378" s="5" t="s">
        <v>1680</v>
      </c>
      <c r="M378" s="5" t="s">
        <v>1681</v>
      </c>
      <c r="N378" s="5" t="s">
        <v>1682</v>
      </c>
      <c r="O378" s="5" t="s">
        <v>1680</v>
      </c>
      <c r="P378" s="6">
        <v>6775.87</v>
      </c>
      <c r="Q378" s="6">
        <v>12957</v>
      </c>
      <c r="R378" s="6">
        <v>0</v>
      </c>
      <c r="S378" s="6">
        <v>6181.13</v>
      </c>
      <c r="T378" s="6">
        <v>0</v>
      </c>
    </row>
    <row r="379" spans="1:20">
      <c r="A379" s="5" t="s">
        <v>1672</v>
      </c>
      <c r="B379" s="5" t="s">
        <v>1673</v>
      </c>
      <c r="C379" s="5" t="s">
        <v>1715</v>
      </c>
      <c r="D379" s="5" t="s">
        <v>325</v>
      </c>
      <c r="E379" s="5" t="s">
        <v>1760</v>
      </c>
      <c r="F379" s="5" t="s">
        <v>1761</v>
      </c>
      <c r="G379" s="5" t="s">
        <v>1760</v>
      </c>
      <c r="H379" s="5" t="s">
        <v>1761</v>
      </c>
      <c r="I379" s="5" t="s">
        <v>1874</v>
      </c>
      <c r="J379" s="5" t="s">
        <v>1678</v>
      </c>
      <c r="K379" s="5" t="s">
        <v>1679</v>
      </c>
      <c r="L379" s="5" t="s">
        <v>1680</v>
      </c>
      <c r="M379" s="5" t="s">
        <v>1681</v>
      </c>
      <c r="N379" s="5" t="s">
        <v>1682</v>
      </c>
      <c r="O379" s="5" t="s">
        <v>1680</v>
      </c>
      <c r="P379" s="6">
        <v>6775.87</v>
      </c>
      <c r="Q379" s="6">
        <v>12957</v>
      </c>
      <c r="R379" s="6">
        <v>0</v>
      </c>
      <c r="S379" s="6">
        <v>6181.13</v>
      </c>
      <c r="T379" s="6">
        <v>0</v>
      </c>
    </row>
    <row r="380" spans="1:20">
      <c r="A380" s="5" t="s">
        <v>1672</v>
      </c>
      <c r="B380" s="5" t="s">
        <v>1673</v>
      </c>
      <c r="C380" s="5" t="s">
        <v>1715</v>
      </c>
      <c r="D380" s="5" t="s">
        <v>325</v>
      </c>
      <c r="E380" s="5" t="s">
        <v>1762</v>
      </c>
      <c r="F380" s="5" t="s">
        <v>1763</v>
      </c>
      <c r="G380" s="5" t="s">
        <v>1764</v>
      </c>
      <c r="H380" s="5" t="s">
        <v>1765</v>
      </c>
      <c r="I380" s="5" t="s">
        <v>1874</v>
      </c>
      <c r="J380" s="5" t="s">
        <v>1678</v>
      </c>
      <c r="K380" s="5" t="s">
        <v>1679</v>
      </c>
      <c r="L380" s="5" t="s">
        <v>1680</v>
      </c>
      <c r="M380" s="5" t="s">
        <v>1681</v>
      </c>
      <c r="N380" s="5" t="s">
        <v>1682</v>
      </c>
      <c r="O380" s="5" t="s">
        <v>1680</v>
      </c>
      <c r="P380" s="6">
        <v>6775.87</v>
      </c>
      <c r="Q380" s="6">
        <v>12957</v>
      </c>
      <c r="R380" s="6">
        <v>0</v>
      </c>
      <c r="S380" s="6">
        <v>6181.13</v>
      </c>
      <c r="T380" s="6">
        <v>0</v>
      </c>
    </row>
    <row r="381" spans="1:20">
      <c r="A381" s="5" t="s">
        <v>1672</v>
      </c>
      <c r="B381" s="5" t="s">
        <v>1673</v>
      </c>
      <c r="C381" s="5" t="s">
        <v>1715</v>
      </c>
      <c r="D381" s="5" t="s">
        <v>325</v>
      </c>
      <c r="E381" s="5" t="s">
        <v>1766</v>
      </c>
      <c r="F381" s="5" t="s">
        <v>1767</v>
      </c>
      <c r="G381" s="5" t="s">
        <v>1766</v>
      </c>
      <c r="H381" s="5" t="s">
        <v>1767</v>
      </c>
      <c r="I381" s="5" t="s">
        <v>1874</v>
      </c>
      <c r="J381" s="5" t="s">
        <v>1678</v>
      </c>
      <c r="K381" s="5" t="s">
        <v>1679</v>
      </c>
      <c r="L381" s="5" t="s">
        <v>1680</v>
      </c>
      <c r="M381" s="5" t="s">
        <v>1681</v>
      </c>
      <c r="N381" s="5" t="s">
        <v>1682</v>
      </c>
      <c r="O381" s="5" t="s">
        <v>1680</v>
      </c>
      <c r="P381" s="6">
        <v>6775.87</v>
      </c>
      <c r="Q381" s="6">
        <v>12957</v>
      </c>
      <c r="R381" s="6">
        <v>0</v>
      </c>
      <c r="S381" s="6">
        <v>6181.13</v>
      </c>
      <c r="T381" s="6">
        <v>0</v>
      </c>
    </row>
    <row r="382" spans="1:20">
      <c r="A382" s="5" t="s">
        <v>1672</v>
      </c>
      <c r="B382" s="5" t="s">
        <v>1673</v>
      </c>
      <c r="C382" s="5" t="s">
        <v>1715</v>
      </c>
      <c r="D382" s="5" t="s">
        <v>325</v>
      </c>
      <c r="E382" s="5" t="s">
        <v>1768</v>
      </c>
      <c r="F382" s="5" t="s">
        <v>1769</v>
      </c>
      <c r="G382" s="5" t="s">
        <v>1770</v>
      </c>
      <c r="H382" s="5" t="s">
        <v>1771</v>
      </c>
      <c r="I382" s="5" t="s">
        <v>1874</v>
      </c>
      <c r="J382" s="5" t="s">
        <v>1678</v>
      </c>
      <c r="K382" s="5" t="s">
        <v>1679</v>
      </c>
      <c r="L382" s="5" t="s">
        <v>1680</v>
      </c>
      <c r="M382" s="5" t="s">
        <v>1681</v>
      </c>
      <c r="N382" s="5" t="s">
        <v>1682</v>
      </c>
      <c r="O382" s="5" t="s">
        <v>1680</v>
      </c>
      <c r="P382" s="6">
        <v>6775.87</v>
      </c>
      <c r="Q382" s="6">
        <v>12957</v>
      </c>
      <c r="R382" s="6">
        <v>0</v>
      </c>
      <c r="S382" s="6">
        <v>6181.13</v>
      </c>
      <c r="T382" s="6">
        <v>0</v>
      </c>
    </row>
    <row r="383" spans="1:20">
      <c r="A383" s="5" t="s">
        <v>1672</v>
      </c>
      <c r="B383" s="5" t="s">
        <v>1673</v>
      </c>
      <c r="C383" s="5" t="s">
        <v>1715</v>
      </c>
      <c r="D383" s="5" t="s">
        <v>325</v>
      </c>
      <c r="E383" s="5" t="s">
        <v>1772</v>
      </c>
      <c r="F383" s="5" t="s">
        <v>1773</v>
      </c>
      <c r="G383" s="5" t="s">
        <v>1774</v>
      </c>
      <c r="H383" s="5" t="s">
        <v>1775</v>
      </c>
      <c r="I383" s="5" t="s">
        <v>1874</v>
      </c>
      <c r="J383" s="5" t="s">
        <v>1678</v>
      </c>
      <c r="K383" s="5" t="s">
        <v>1679</v>
      </c>
      <c r="L383" s="5" t="s">
        <v>1680</v>
      </c>
      <c r="M383" s="5" t="s">
        <v>1681</v>
      </c>
      <c r="N383" s="5" t="s">
        <v>1682</v>
      </c>
      <c r="O383" s="5" t="s">
        <v>1680</v>
      </c>
      <c r="P383" s="6">
        <v>6775.87</v>
      </c>
      <c r="Q383" s="6">
        <v>12957</v>
      </c>
      <c r="R383" s="6">
        <v>0</v>
      </c>
      <c r="S383" s="6">
        <v>6181.13</v>
      </c>
      <c r="T383" s="6">
        <v>0</v>
      </c>
    </row>
    <row r="384" spans="1:20">
      <c r="A384" s="5" t="s">
        <v>1672</v>
      </c>
      <c r="B384" s="5" t="s">
        <v>1673</v>
      </c>
      <c r="C384" s="5" t="s">
        <v>1715</v>
      </c>
      <c r="D384" s="5" t="s">
        <v>325</v>
      </c>
      <c r="E384" s="5" t="s">
        <v>1776</v>
      </c>
      <c r="F384" s="5" t="s">
        <v>1777</v>
      </c>
      <c r="G384" s="5" t="s">
        <v>1778</v>
      </c>
      <c r="H384" s="5" t="s">
        <v>1779</v>
      </c>
      <c r="I384" s="5" t="s">
        <v>1874</v>
      </c>
      <c r="J384" s="5" t="s">
        <v>1678</v>
      </c>
      <c r="K384" s="5" t="s">
        <v>1679</v>
      </c>
      <c r="L384" s="5" t="s">
        <v>1680</v>
      </c>
      <c r="M384" s="5" t="s">
        <v>1681</v>
      </c>
      <c r="N384" s="5" t="s">
        <v>1682</v>
      </c>
      <c r="O384" s="5" t="s">
        <v>1680</v>
      </c>
      <c r="P384" s="6">
        <v>6775.87</v>
      </c>
      <c r="Q384" s="6">
        <v>12957</v>
      </c>
      <c r="R384" s="6">
        <v>0</v>
      </c>
      <c r="S384" s="6">
        <v>6181.13</v>
      </c>
      <c r="T384" s="6">
        <v>0</v>
      </c>
    </row>
    <row r="385" spans="1:20">
      <c r="A385" s="5" t="s">
        <v>1672</v>
      </c>
      <c r="B385" s="5" t="s">
        <v>1673</v>
      </c>
      <c r="C385" s="5" t="s">
        <v>1715</v>
      </c>
      <c r="D385" s="5" t="s">
        <v>325</v>
      </c>
      <c r="E385" s="5" t="s">
        <v>1780</v>
      </c>
      <c r="F385" s="5" t="s">
        <v>1781</v>
      </c>
      <c r="G385" s="5" t="s">
        <v>1780</v>
      </c>
      <c r="H385" s="5" t="s">
        <v>1781</v>
      </c>
      <c r="I385" s="5" t="s">
        <v>1874</v>
      </c>
      <c r="J385" s="5" t="s">
        <v>1678</v>
      </c>
      <c r="K385" s="5" t="s">
        <v>1679</v>
      </c>
      <c r="L385" s="5" t="s">
        <v>1680</v>
      </c>
      <c r="M385" s="5" t="s">
        <v>1681</v>
      </c>
      <c r="N385" s="5" t="s">
        <v>1682</v>
      </c>
      <c r="O385" s="5" t="s">
        <v>1680</v>
      </c>
      <c r="P385" s="6">
        <v>6775.87</v>
      </c>
      <c r="Q385" s="6">
        <v>12957</v>
      </c>
      <c r="R385" s="6">
        <v>0</v>
      </c>
      <c r="S385" s="6">
        <v>6181.13</v>
      </c>
      <c r="T385" s="6">
        <v>0</v>
      </c>
    </row>
    <row r="386" spans="1:20">
      <c r="A386" s="5" t="s">
        <v>1672</v>
      </c>
      <c r="B386" s="5" t="s">
        <v>1673</v>
      </c>
      <c r="C386" s="5" t="s">
        <v>1715</v>
      </c>
      <c r="D386" s="5" t="s">
        <v>325</v>
      </c>
      <c r="E386" s="5" t="s">
        <v>1782</v>
      </c>
      <c r="F386" s="5" t="s">
        <v>1783</v>
      </c>
      <c r="G386" s="5" t="s">
        <v>1782</v>
      </c>
      <c r="H386" s="5" t="s">
        <v>1783</v>
      </c>
      <c r="I386" s="5" t="s">
        <v>1874</v>
      </c>
      <c r="J386" s="5" t="s">
        <v>1678</v>
      </c>
      <c r="K386" s="5" t="s">
        <v>1679</v>
      </c>
      <c r="L386" s="5" t="s">
        <v>1680</v>
      </c>
      <c r="M386" s="5" t="s">
        <v>1681</v>
      </c>
      <c r="N386" s="5" t="s">
        <v>1682</v>
      </c>
      <c r="O386" s="5" t="s">
        <v>1680</v>
      </c>
      <c r="P386" s="6">
        <v>6775.87</v>
      </c>
      <c r="Q386" s="6">
        <v>12957</v>
      </c>
      <c r="R386" s="6">
        <v>0</v>
      </c>
      <c r="S386" s="6">
        <v>6181.13</v>
      </c>
      <c r="T386" s="6">
        <v>0</v>
      </c>
    </row>
    <row r="387" spans="1:20">
      <c r="A387" s="5" t="s">
        <v>1672</v>
      </c>
      <c r="B387" s="5" t="s">
        <v>1673</v>
      </c>
      <c r="C387" s="5" t="s">
        <v>1715</v>
      </c>
      <c r="D387" s="5" t="s">
        <v>325</v>
      </c>
      <c r="E387" s="5" t="s">
        <v>1784</v>
      </c>
      <c r="F387" s="5" t="s">
        <v>1785</v>
      </c>
      <c r="G387" s="5" t="s">
        <v>1786</v>
      </c>
      <c r="H387" s="5" t="s">
        <v>1787</v>
      </c>
      <c r="I387" s="5" t="s">
        <v>1874</v>
      </c>
      <c r="J387" s="5" t="s">
        <v>1678</v>
      </c>
      <c r="K387" s="5" t="s">
        <v>1679</v>
      </c>
      <c r="L387" s="5" t="s">
        <v>1680</v>
      </c>
      <c r="M387" s="5" t="s">
        <v>1681</v>
      </c>
      <c r="N387" s="5" t="s">
        <v>1682</v>
      </c>
      <c r="O387" s="5" t="s">
        <v>1680</v>
      </c>
      <c r="P387" s="6">
        <v>6775.87</v>
      </c>
      <c r="Q387" s="6">
        <v>12957</v>
      </c>
      <c r="R387" s="6">
        <v>0</v>
      </c>
      <c r="S387" s="6">
        <v>6181.13</v>
      </c>
      <c r="T387" s="6">
        <v>0</v>
      </c>
    </row>
    <row r="388" spans="1:20">
      <c r="A388" s="5" t="s">
        <v>1672</v>
      </c>
      <c r="B388" s="5" t="s">
        <v>1673</v>
      </c>
      <c r="C388" s="5" t="s">
        <v>1715</v>
      </c>
      <c r="D388" s="5" t="s">
        <v>325</v>
      </c>
      <c r="E388" s="5" t="s">
        <v>1788</v>
      </c>
      <c r="F388" s="5" t="s">
        <v>1789</v>
      </c>
      <c r="G388" s="5" t="s">
        <v>1790</v>
      </c>
      <c r="H388" s="5" t="s">
        <v>1791</v>
      </c>
      <c r="I388" s="5" t="s">
        <v>1874</v>
      </c>
      <c r="J388" s="5" t="s">
        <v>1678</v>
      </c>
      <c r="K388" s="5" t="s">
        <v>1679</v>
      </c>
      <c r="L388" s="5" t="s">
        <v>1680</v>
      </c>
      <c r="M388" s="5" t="s">
        <v>1681</v>
      </c>
      <c r="N388" s="5" t="s">
        <v>1682</v>
      </c>
      <c r="O388" s="5" t="s">
        <v>1680</v>
      </c>
      <c r="P388" s="6">
        <v>6775.87</v>
      </c>
      <c r="Q388" s="6">
        <v>12957</v>
      </c>
      <c r="R388" s="6">
        <v>0</v>
      </c>
      <c r="S388" s="6">
        <v>6181.13</v>
      </c>
      <c r="T388" s="6">
        <v>0</v>
      </c>
    </row>
    <row r="389" spans="1:20">
      <c r="A389" s="5" t="s">
        <v>1672</v>
      </c>
      <c r="B389" s="5" t="s">
        <v>1673</v>
      </c>
      <c r="C389" s="5" t="s">
        <v>1715</v>
      </c>
      <c r="D389" s="5" t="s">
        <v>325</v>
      </c>
      <c r="E389" s="5" t="s">
        <v>1792</v>
      </c>
      <c r="F389" s="5" t="s">
        <v>1793</v>
      </c>
      <c r="G389" s="5" t="s">
        <v>1794</v>
      </c>
      <c r="H389" s="5" t="s">
        <v>1795</v>
      </c>
      <c r="I389" s="5" t="s">
        <v>1874</v>
      </c>
      <c r="J389" s="5" t="s">
        <v>1678</v>
      </c>
      <c r="K389" s="5" t="s">
        <v>1679</v>
      </c>
      <c r="L389" s="5" t="s">
        <v>1680</v>
      </c>
      <c r="M389" s="5" t="s">
        <v>1681</v>
      </c>
      <c r="N389" s="5" t="s">
        <v>1682</v>
      </c>
      <c r="O389" s="5" t="s">
        <v>1680</v>
      </c>
      <c r="P389" s="6">
        <v>6775.87</v>
      </c>
      <c r="Q389" s="6">
        <v>12957</v>
      </c>
      <c r="R389" s="6">
        <v>0</v>
      </c>
      <c r="S389" s="6">
        <v>6181.13</v>
      </c>
      <c r="T389" s="6">
        <v>0</v>
      </c>
    </row>
    <row r="390" spans="1:20">
      <c r="A390" s="5" t="s">
        <v>1672</v>
      </c>
      <c r="B390" s="5" t="s">
        <v>1673</v>
      </c>
      <c r="C390" s="5" t="s">
        <v>1715</v>
      </c>
      <c r="D390" s="5" t="s">
        <v>325</v>
      </c>
      <c r="E390" s="5" t="s">
        <v>1796</v>
      </c>
      <c r="F390" s="5" t="s">
        <v>1797</v>
      </c>
      <c r="G390" s="5" t="s">
        <v>1796</v>
      </c>
      <c r="H390" s="5" t="s">
        <v>1797</v>
      </c>
      <c r="I390" s="5" t="s">
        <v>1874</v>
      </c>
      <c r="J390" s="5" t="s">
        <v>1678</v>
      </c>
      <c r="K390" s="5" t="s">
        <v>1679</v>
      </c>
      <c r="L390" s="5" t="s">
        <v>1680</v>
      </c>
      <c r="M390" s="5" t="s">
        <v>1681</v>
      </c>
      <c r="N390" s="5" t="s">
        <v>1682</v>
      </c>
      <c r="O390" s="5" t="s">
        <v>1680</v>
      </c>
      <c r="P390" s="6">
        <v>6775.87</v>
      </c>
      <c r="Q390" s="6">
        <v>12957</v>
      </c>
      <c r="R390" s="6">
        <v>0</v>
      </c>
      <c r="S390" s="6">
        <v>6181.13</v>
      </c>
      <c r="T390" s="6">
        <v>0</v>
      </c>
    </row>
    <row r="391" spans="1:20">
      <c r="A391" s="5" t="s">
        <v>1672</v>
      </c>
      <c r="B391" s="5" t="s">
        <v>1673</v>
      </c>
      <c r="C391" s="5" t="s">
        <v>1715</v>
      </c>
      <c r="D391" s="5" t="s">
        <v>325</v>
      </c>
      <c r="E391" s="5" t="s">
        <v>1798</v>
      </c>
      <c r="F391" s="5" t="s">
        <v>1799</v>
      </c>
      <c r="G391" s="5" t="s">
        <v>1798</v>
      </c>
      <c r="H391" s="5" t="s">
        <v>1799</v>
      </c>
      <c r="I391" s="5" t="s">
        <v>1874</v>
      </c>
      <c r="J391" s="5" t="s">
        <v>1678</v>
      </c>
      <c r="K391" s="5" t="s">
        <v>1679</v>
      </c>
      <c r="L391" s="5" t="s">
        <v>1680</v>
      </c>
      <c r="M391" s="5" t="s">
        <v>1681</v>
      </c>
      <c r="N391" s="5" t="s">
        <v>1682</v>
      </c>
      <c r="O391" s="5" t="s">
        <v>1680</v>
      </c>
      <c r="P391" s="6">
        <v>6775.87</v>
      </c>
      <c r="Q391" s="6">
        <v>12957</v>
      </c>
      <c r="R391" s="6">
        <v>0</v>
      </c>
      <c r="S391" s="6">
        <v>6181.13</v>
      </c>
      <c r="T391" s="6">
        <v>0</v>
      </c>
    </row>
    <row r="392" spans="1:20">
      <c r="A392" s="5" t="s">
        <v>1672</v>
      </c>
      <c r="B392" s="5" t="s">
        <v>1673</v>
      </c>
      <c r="C392" s="5" t="s">
        <v>1715</v>
      </c>
      <c r="D392" s="5" t="s">
        <v>325</v>
      </c>
      <c r="E392" s="5" t="s">
        <v>1800</v>
      </c>
      <c r="F392" s="5" t="s">
        <v>1801</v>
      </c>
      <c r="G392" s="5" t="s">
        <v>1800</v>
      </c>
      <c r="H392" s="5" t="s">
        <v>1801</v>
      </c>
      <c r="I392" s="5" t="s">
        <v>1874</v>
      </c>
      <c r="J392" s="5" t="s">
        <v>1678</v>
      </c>
      <c r="K392" s="5" t="s">
        <v>1679</v>
      </c>
      <c r="L392" s="5" t="s">
        <v>1680</v>
      </c>
      <c r="M392" s="5" t="s">
        <v>1681</v>
      </c>
      <c r="N392" s="5" t="s">
        <v>1682</v>
      </c>
      <c r="O392" s="5" t="s">
        <v>1680</v>
      </c>
      <c r="P392" s="6">
        <v>6775.87</v>
      </c>
      <c r="Q392" s="6">
        <v>12957</v>
      </c>
      <c r="R392" s="6">
        <v>0</v>
      </c>
      <c r="S392" s="6">
        <v>6181.13</v>
      </c>
      <c r="T392" s="6">
        <v>0</v>
      </c>
    </row>
    <row r="393" spans="1:20">
      <c r="A393" s="5" t="s">
        <v>1672</v>
      </c>
      <c r="B393" s="5" t="s">
        <v>1673</v>
      </c>
      <c r="C393" s="5" t="s">
        <v>1715</v>
      </c>
      <c r="D393" s="5" t="s">
        <v>325</v>
      </c>
      <c r="E393" s="5" t="s">
        <v>1802</v>
      </c>
      <c r="F393" s="5" t="s">
        <v>1803</v>
      </c>
      <c r="G393" s="5" t="s">
        <v>1804</v>
      </c>
      <c r="H393" s="5" t="s">
        <v>1805</v>
      </c>
      <c r="I393" s="5" t="s">
        <v>1874</v>
      </c>
      <c r="J393" s="5" t="s">
        <v>1678</v>
      </c>
      <c r="K393" s="5" t="s">
        <v>1679</v>
      </c>
      <c r="L393" s="5" t="s">
        <v>1680</v>
      </c>
      <c r="M393" s="5" t="s">
        <v>1681</v>
      </c>
      <c r="N393" s="5" t="s">
        <v>1682</v>
      </c>
      <c r="O393" s="5" t="s">
        <v>1680</v>
      </c>
      <c r="P393" s="6">
        <v>6775.87</v>
      </c>
      <c r="Q393" s="6">
        <v>12957</v>
      </c>
      <c r="R393" s="6">
        <v>0</v>
      </c>
      <c r="S393" s="6">
        <v>6181.13</v>
      </c>
      <c r="T393" s="6">
        <v>0</v>
      </c>
    </row>
    <row r="394" spans="1:20">
      <c r="A394" s="5" t="s">
        <v>1672</v>
      </c>
      <c r="B394" s="5" t="s">
        <v>1673</v>
      </c>
      <c r="C394" s="5" t="s">
        <v>1715</v>
      </c>
      <c r="D394" s="5" t="s">
        <v>325</v>
      </c>
      <c r="E394" s="5" t="s">
        <v>1806</v>
      </c>
      <c r="F394" s="5" t="s">
        <v>1807</v>
      </c>
      <c r="G394" s="5" t="s">
        <v>1808</v>
      </c>
      <c r="H394" s="5" t="s">
        <v>1809</v>
      </c>
      <c r="I394" s="5" t="s">
        <v>1874</v>
      </c>
      <c r="J394" s="5" t="s">
        <v>1678</v>
      </c>
      <c r="K394" s="5" t="s">
        <v>1679</v>
      </c>
      <c r="L394" s="5" t="s">
        <v>1680</v>
      </c>
      <c r="M394" s="5" t="s">
        <v>1681</v>
      </c>
      <c r="N394" s="5" t="s">
        <v>1682</v>
      </c>
      <c r="O394" s="5" t="s">
        <v>1680</v>
      </c>
      <c r="P394" s="6">
        <v>6775.87</v>
      </c>
      <c r="Q394" s="6">
        <v>12957</v>
      </c>
      <c r="R394" s="6">
        <v>0</v>
      </c>
      <c r="S394" s="6">
        <v>6181.13</v>
      </c>
      <c r="T394" s="6">
        <v>0</v>
      </c>
    </row>
    <row r="395" spans="1:20">
      <c r="A395" s="5" t="s">
        <v>1672</v>
      </c>
      <c r="B395" s="5" t="s">
        <v>1673</v>
      </c>
      <c r="C395" s="5" t="s">
        <v>1715</v>
      </c>
      <c r="D395" s="5" t="s">
        <v>325</v>
      </c>
      <c r="E395" s="5" t="s">
        <v>1810</v>
      </c>
      <c r="F395" s="5" t="s">
        <v>1811</v>
      </c>
      <c r="G395" s="5" t="s">
        <v>1812</v>
      </c>
      <c r="H395" s="5" t="s">
        <v>1813</v>
      </c>
      <c r="I395" s="5" t="s">
        <v>1874</v>
      </c>
      <c r="J395" s="5" t="s">
        <v>1678</v>
      </c>
      <c r="K395" s="5" t="s">
        <v>1679</v>
      </c>
      <c r="L395" s="5" t="s">
        <v>1680</v>
      </c>
      <c r="M395" s="5" t="s">
        <v>1681</v>
      </c>
      <c r="N395" s="5" t="s">
        <v>1682</v>
      </c>
      <c r="O395" s="5" t="s">
        <v>1680</v>
      </c>
      <c r="P395" s="6">
        <v>6775.87</v>
      </c>
      <c r="Q395" s="6">
        <v>12957</v>
      </c>
      <c r="R395" s="6">
        <v>0</v>
      </c>
      <c r="S395" s="6">
        <v>6181.13</v>
      </c>
      <c r="T395" s="6">
        <v>0</v>
      </c>
    </row>
    <row r="396" spans="1:20">
      <c r="A396" s="5" t="s">
        <v>1672</v>
      </c>
      <c r="B396" s="5" t="s">
        <v>1673</v>
      </c>
      <c r="C396" s="5" t="s">
        <v>1715</v>
      </c>
      <c r="D396" s="5" t="s">
        <v>325</v>
      </c>
      <c r="E396" s="5" t="s">
        <v>1814</v>
      </c>
      <c r="F396" s="5" t="s">
        <v>1815</v>
      </c>
      <c r="G396" s="5" t="s">
        <v>1814</v>
      </c>
      <c r="H396" s="5" t="s">
        <v>1815</v>
      </c>
      <c r="I396" s="5" t="s">
        <v>1874</v>
      </c>
      <c r="J396" s="5" t="s">
        <v>1678</v>
      </c>
      <c r="K396" s="5" t="s">
        <v>1679</v>
      </c>
      <c r="L396" s="5" t="s">
        <v>1680</v>
      </c>
      <c r="M396" s="5" t="s">
        <v>1681</v>
      </c>
      <c r="N396" s="5" t="s">
        <v>1682</v>
      </c>
      <c r="O396" s="5" t="s">
        <v>1680</v>
      </c>
      <c r="P396" s="6">
        <v>6775.87</v>
      </c>
      <c r="Q396" s="6">
        <v>12957</v>
      </c>
      <c r="R396" s="6">
        <v>0</v>
      </c>
      <c r="S396" s="6">
        <v>6181.13</v>
      </c>
      <c r="T396" s="6">
        <v>0</v>
      </c>
    </row>
    <row r="397" spans="1:20">
      <c r="A397" s="5" t="s">
        <v>1672</v>
      </c>
      <c r="B397" s="5" t="s">
        <v>1673</v>
      </c>
      <c r="C397" s="5" t="s">
        <v>1715</v>
      </c>
      <c r="D397" s="5" t="s">
        <v>325</v>
      </c>
      <c r="E397" s="5" t="s">
        <v>1816</v>
      </c>
      <c r="F397" s="5" t="s">
        <v>1817</v>
      </c>
      <c r="G397" s="5" t="s">
        <v>1818</v>
      </c>
      <c r="H397" s="5" t="s">
        <v>1819</v>
      </c>
      <c r="I397" s="5" t="s">
        <v>1874</v>
      </c>
      <c r="J397" s="5" t="s">
        <v>1678</v>
      </c>
      <c r="K397" s="5" t="s">
        <v>1679</v>
      </c>
      <c r="L397" s="5" t="s">
        <v>1680</v>
      </c>
      <c r="M397" s="5" t="s">
        <v>1681</v>
      </c>
      <c r="N397" s="5" t="s">
        <v>1682</v>
      </c>
      <c r="O397" s="5" t="s">
        <v>1680</v>
      </c>
      <c r="P397" s="6">
        <v>6775.87</v>
      </c>
      <c r="Q397" s="6">
        <v>12957</v>
      </c>
      <c r="R397" s="6">
        <v>0</v>
      </c>
      <c r="S397" s="6">
        <v>6181.13</v>
      </c>
      <c r="T397" s="6">
        <v>0</v>
      </c>
    </row>
    <row r="398" spans="1:20">
      <c r="A398" s="5" t="s">
        <v>1672</v>
      </c>
      <c r="B398" s="5" t="s">
        <v>1673</v>
      </c>
      <c r="C398" s="5" t="s">
        <v>1715</v>
      </c>
      <c r="D398" s="5" t="s">
        <v>325</v>
      </c>
      <c r="E398" s="5" t="s">
        <v>1820</v>
      </c>
      <c r="F398" s="5" t="s">
        <v>1821</v>
      </c>
      <c r="G398" s="5" t="s">
        <v>1822</v>
      </c>
      <c r="H398" s="5" t="s">
        <v>1823</v>
      </c>
      <c r="I398" s="5" t="s">
        <v>1874</v>
      </c>
      <c r="J398" s="5" t="s">
        <v>1678</v>
      </c>
      <c r="K398" s="5" t="s">
        <v>1679</v>
      </c>
      <c r="L398" s="5" t="s">
        <v>1680</v>
      </c>
      <c r="M398" s="5" t="s">
        <v>1681</v>
      </c>
      <c r="N398" s="5" t="s">
        <v>1682</v>
      </c>
      <c r="O398" s="5" t="s">
        <v>1680</v>
      </c>
      <c r="P398" s="6">
        <v>6775.87</v>
      </c>
      <c r="Q398" s="6">
        <v>12957</v>
      </c>
      <c r="R398" s="6">
        <v>0</v>
      </c>
      <c r="S398" s="6">
        <v>6181.13</v>
      </c>
      <c r="T398" s="6">
        <v>0</v>
      </c>
    </row>
    <row r="399" spans="1:20">
      <c r="A399" s="5" t="s">
        <v>1672</v>
      </c>
      <c r="B399" s="5" t="s">
        <v>1673</v>
      </c>
      <c r="C399" s="5" t="s">
        <v>1715</v>
      </c>
      <c r="D399" s="5" t="s">
        <v>325</v>
      </c>
      <c r="E399" s="5" t="s">
        <v>1824</v>
      </c>
      <c r="F399" s="5" t="s">
        <v>1825</v>
      </c>
      <c r="G399" s="5" t="s">
        <v>1826</v>
      </c>
      <c r="H399" s="5" t="s">
        <v>1827</v>
      </c>
      <c r="I399" s="5" t="s">
        <v>1874</v>
      </c>
      <c r="J399" s="5" t="s">
        <v>1678</v>
      </c>
      <c r="K399" s="5" t="s">
        <v>1679</v>
      </c>
      <c r="L399" s="5" t="s">
        <v>1680</v>
      </c>
      <c r="M399" s="5" t="s">
        <v>1681</v>
      </c>
      <c r="N399" s="5" t="s">
        <v>1682</v>
      </c>
      <c r="O399" s="5" t="s">
        <v>1680</v>
      </c>
      <c r="P399" s="6">
        <v>6775.87</v>
      </c>
      <c r="Q399" s="6">
        <v>12957</v>
      </c>
      <c r="R399" s="6">
        <v>0</v>
      </c>
      <c r="S399" s="6">
        <v>6181.13</v>
      </c>
      <c r="T399" s="6">
        <v>0</v>
      </c>
    </row>
    <row r="400" spans="1:20">
      <c r="A400" s="5" t="s">
        <v>1672</v>
      </c>
      <c r="B400" s="5" t="s">
        <v>1673</v>
      </c>
      <c r="C400" s="5" t="s">
        <v>1715</v>
      </c>
      <c r="D400" s="5" t="s">
        <v>325</v>
      </c>
      <c r="E400" s="5" t="s">
        <v>1828</v>
      </c>
      <c r="F400" s="5" t="s">
        <v>1829</v>
      </c>
      <c r="G400" s="5" t="s">
        <v>1828</v>
      </c>
      <c r="H400" s="5" t="s">
        <v>1829</v>
      </c>
      <c r="I400" s="5" t="s">
        <v>1874</v>
      </c>
      <c r="J400" s="5" t="s">
        <v>1678</v>
      </c>
      <c r="K400" s="5" t="s">
        <v>1679</v>
      </c>
      <c r="L400" s="5" t="s">
        <v>1680</v>
      </c>
      <c r="M400" s="5" t="s">
        <v>1681</v>
      </c>
      <c r="N400" s="5" t="s">
        <v>1682</v>
      </c>
      <c r="O400" s="5" t="s">
        <v>1680</v>
      </c>
      <c r="P400" s="6">
        <v>6775.87</v>
      </c>
      <c r="Q400" s="6">
        <v>12957</v>
      </c>
      <c r="R400" s="6">
        <v>0</v>
      </c>
      <c r="S400" s="6">
        <v>6181.13</v>
      </c>
      <c r="T400" s="6">
        <v>0</v>
      </c>
    </row>
    <row r="401" spans="1:20">
      <c r="A401" s="5" t="s">
        <v>1672</v>
      </c>
      <c r="B401" s="5" t="s">
        <v>1673</v>
      </c>
      <c r="C401" s="5" t="s">
        <v>1715</v>
      </c>
      <c r="D401" s="5" t="s">
        <v>325</v>
      </c>
      <c r="E401" s="5" t="s">
        <v>1830</v>
      </c>
      <c r="F401" s="5" t="s">
        <v>1831</v>
      </c>
      <c r="G401" s="5" t="s">
        <v>1830</v>
      </c>
      <c r="H401" s="5" t="s">
        <v>1831</v>
      </c>
      <c r="I401" s="5" t="s">
        <v>1874</v>
      </c>
      <c r="J401" s="5" t="s">
        <v>1678</v>
      </c>
      <c r="K401" s="5" t="s">
        <v>1679</v>
      </c>
      <c r="L401" s="5" t="s">
        <v>1680</v>
      </c>
      <c r="M401" s="5" t="s">
        <v>1681</v>
      </c>
      <c r="N401" s="5" t="s">
        <v>1682</v>
      </c>
      <c r="O401" s="5" t="s">
        <v>1680</v>
      </c>
      <c r="P401" s="6">
        <v>6775.87</v>
      </c>
      <c r="Q401" s="6">
        <v>12957</v>
      </c>
      <c r="R401" s="6">
        <v>0</v>
      </c>
      <c r="S401" s="6">
        <v>6181.13</v>
      </c>
      <c r="T401" s="6">
        <v>0</v>
      </c>
    </row>
    <row r="402" spans="1:20">
      <c r="A402" s="5" t="s">
        <v>1672</v>
      </c>
      <c r="B402" s="5" t="s">
        <v>1673</v>
      </c>
      <c r="C402" s="5" t="s">
        <v>1715</v>
      </c>
      <c r="D402" s="5" t="s">
        <v>325</v>
      </c>
      <c r="E402" s="5" t="s">
        <v>1832</v>
      </c>
      <c r="F402" s="5" t="s">
        <v>1833</v>
      </c>
      <c r="G402" s="5" t="s">
        <v>1834</v>
      </c>
      <c r="H402" s="5" t="s">
        <v>1835</v>
      </c>
      <c r="I402" s="5" t="s">
        <v>1874</v>
      </c>
      <c r="J402" s="5" t="s">
        <v>1678</v>
      </c>
      <c r="K402" s="5" t="s">
        <v>1679</v>
      </c>
      <c r="L402" s="5" t="s">
        <v>1680</v>
      </c>
      <c r="M402" s="5" t="s">
        <v>1681</v>
      </c>
      <c r="N402" s="5" t="s">
        <v>1682</v>
      </c>
      <c r="O402" s="5" t="s">
        <v>1680</v>
      </c>
      <c r="P402" s="6">
        <v>6775.87</v>
      </c>
      <c r="Q402" s="6">
        <v>12957</v>
      </c>
      <c r="R402" s="6">
        <v>0</v>
      </c>
      <c r="S402" s="6">
        <v>6181.13</v>
      </c>
      <c r="T402" s="6">
        <v>0</v>
      </c>
    </row>
    <row r="403" spans="1:20">
      <c r="A403" s="5" t="s">
        <v>1672</v>
      </c>
      <c r="B403" s="5" t="s">
        <v>1673</v>
      </c>
      <c r="C403" s="5" t="s">
        <v>1715</v>
      </c>
      <c r="D403" s="5" t="s">
        <v>325</v>
      </c>
      <c r="E403" s="5" t="s">
        <v>1836</v>
      </c>
      <c r="F403" s="5" t="s">
        <v>1837</v>
      </c>
      <c r="G403" s="5" t="s">
        <v>1836</v>
      </c>
      <c r="H403" s="5" t="s">
        <v>1837</v>
      </c>
      <c r="I403" s="5" t="s">
        <v>1874</v>
      </c>
      <c r="J403" s="5" t="s">
        <v>1678</v>
      </c>
      <c r="K403" s="5" t="s">
        <v>1679</v>
      </c>
      <c r="L403" s="5" t="s">
        <v>1680</v>
      </c>
      <c r="M403" s="5" t="s">
        <v>1681</v>
      </c>
      <c r="N403" s="5" t="s">
        <v>1682</v>
      </c>
      <c r="O403" s="5" t="s">
        <v>1680</v>
      </c>
      <c r="P403" s="6">
        <v>6775.87</v>
      </c>
      <c r="Q403" s="6">
        <v>12957</v>
      </c>
      <c r="R403" s="6">
        <v>0</v>
      </c>
      <c r="S403" s="6">
        <v>6181.13</v>
      </c>
      <c r="T403" s="6">
        <v>0</v>
      </c>
    </row>
    <row r="404" spans="1:20">
      <c r="A404" s="5" t="s">
        <v>1672</v>
      </c>
      <c r="B404" s="5" t="s">
        <v>1673</v>
      </c>
      <c r="C404" s="5" t="s">
        <v>1715</v>
      </c>
      <c r="D404" s="5" t="s">
        <v>325</v>
      </c>
      <c r="E404" s="5" t="s">
        <v>1838</v>
      </c>
      <c r="F404" s="5" t="s">
        <v>1839</v>
      </c>
      <c r="G404" s="5" t="s">
        <v>1840</v>
      </c>
      <c r="H404" s="5" t="s">
        <v>1841</v>
      </c>
      <c r="I404" s="5" t="s">
        <v>1874</v>
      </c>
      <c r="J404" s="5" t="s">
        <v>1678</v>
      </c>
      <c r="K404" s="5" t="s">
        <v>1679</v>
      </c>
      <c r="L404" s="5" t="s">
        <v>1680</v>
      </c>
      <c r="M404" s="5" t="s">
        <v>1681</v>
      </c>
      <c r="N404" s="5" t="s">
        <v>1682</v>
      </c>
      <c r="O404" s="5" t="s">
        <v>1680</v>
      </c>
      <c r="P404" s="6">
        <v>6775.87</v>
      </c>
      <c r="Q404" s="6">
        <v>12957</v>
      </c>
      <c r="R404" s="6">
        <v>0</v>
      </c>
      <c r="S404" s="6">
        <v>6181.13</v>
      </c>
      <c r="T404" s="6">
        <v>0</v>
      </c>
    </row>
    <row r="405" spans="1:20">
      <c r="A405" s="5" t="s">
        <v>1672</v>
      </c>
      <c r="B405" s="5" t="s">
        <v>1673</v>
      </c>
      <c r="C405" s="5" t="s">
        <v>1875</v>
      </c>
      <c r="D405" s="5" t="s">
        <v>1876</v>
      </c>
      <c r="E405" s="5" t="s">
        <v>1877</v>
      </c>
      <c r="F405" s="5" t="s">
        <v>1878</v>
      </c>
      <c r="G405" s="5" t="s">
        <v>1879</v>
      </c>
      <c r="H405" s="5" t="s">
        <v>1880</v>
      </c>
      <c r="I405" s="5" t="s">
        <v>1874</v>
      </c>
      <c r="J405" s="5" t="s">
        <v>1678</v>
      </c>
      <c r="K405" s="5" t="s">
        <v>1881</v>
      </c>
      <c r="L405" s="5" t="s">
        <v>1680</v>
      </c>
      <c r="M405" s="5" t="s">
        <v>1681</v>
      </c>
      <c r="N405" s="5" t="s">
        <v>1682</v>
      </c>
      <c r="O405" s="5" t="s">
        <v>1680</v>
      </c>
      <c r="P405" s="6">
        <v>13113600</v>
      </c>
      <c r="Q405" s="6">
        <v>13113600</v>
      </c>
      <c r="R405" s="6">
        <v>0</v>
      </c>
      <c r="S405" s="6">
        <v>0</v>
      </c>
      <c r="T405" s="6">
        <v>0</v>
      </c>
    </row>
    <row r="406" spans="1:20">
      <c r="A406" s="5" t="s">
        <v>1672</v>
      </c>
      <c r="B406" s="5" t="s">
        <v>1673</v>
      </c>
      <c r="C406" s="5" t="s">
        <v>1674</v>
      </c>
      <c r="D406" s="5" t="s">
        <v>2</v>
      </c>
      <c r="E406" s="5" t="s">
        <v>1675</v>
      </c>
      <c r="F406" s="5" t="s">
        <v>1676</v>
      </c>
      <c r="G406" s="5" t="s">
        <v>1675</v>
      </c>
      <c r="H406" s="5" t="s">
        <v>1676</v>
      </c>
      <c r="I406" s="5" t="s">
        <v>1882</v>
      </c>
      <c r="J406" s="5" t="s">
        <v>1678</v>
      </c>
      <c r="K406" s="5" t="s">
        <v>1679</v>
      </c>
      <c r="L406" s="5" t="s">
        <v>1680</v>
      </c>
      <c r="M406" s="5" t="s">
        <v>1681</v>
      </c>
      <c r="N406" s="5" t="s">
        <v>1682</v>
      </c>
      <c r="O406" s="5" t="s">
        <v>1680</v>
      </c>
      <c r="P406" s="6">
        <v>6380</v>
      </c>
      <c r="Q406" s="6">
        <v>6380</v>
      </c>
      <c r="R406" s="6">
        <v>0</v>
      </c>
      <c r="S406" s="6">
        <v>0</v>
      </c>
      <c r="T406" s="6">
        <v>0</v>
      </c>
    </row>
    <row r="407" spans="1:20">
      <c r="A407" s="5" t="s">
        <v>1672</v>
      </c>
      <c r="B407" s="5" t="s">
        <v>1673</v>
      </c>
      <c r="C407" s="5" t="s">
        <v>1674</v>
      </c>
      <c r="D407" s="5" t="s">
        <v>2</v>
      </c>
      <c r="E407" s="5" t="s">
        <v>1683</v>
      </c>
      <c r="F407" s="5" t="s">
        <v>1684</v>
      </c>
      <c r="G407" s="5" t="s">
        <v>1683</v>
      </c>
      <c r="H407" s="5" t="s">
        <v>1684</v>
      </c>
      <c r="I407" s="5" t="s">
        <v>1882</v>
      </c>
      <c r="J407" s="5" t="s">
        <v>1678</v>
      </c>
      <c r="K407" s="5" t="s">
        <v>1679</v>
      </c>
      <c r="L407" s="5" t="s">
        <v>1680</v>
      </c>
      <c r="M407" s="5" t="s">
        <v>1681</v>
      </c>
      <c r="N407" s="5" t="s">
        <v>1682</v>
      </c>
      <c r="O407" s="5" t="s">
        <v>1680</v>
      </c>
      <c r="P407" s="6">
        <v>6380</v>
      </c>
      <c r="Q407" s="6">
        <v>6380</v>
      </c>
      <c r="R407" s="6">
        <v>0</v>
      </c>
      <c r="S407" s="6">
        <v>0</v>
      </c>
      <c r="T407" s="6">
        <v>0</v>
      </c>
    </row>
    <row r="408" spans="1:20">
      <c r="A408" s="5" t="s">
        <v>1672</v>
      </c>
      <c r="B408" s="5" t="s">
        <v>1673</v>
      </c>
      <c r="C408" s="5" t="s">
        <v>1674</v>
      </c>
      <c r="D408" s="5" t="s">
        <v>2</v>
      </c>
      <c r="E408" s="5" t="s">
        <v>1685</v>
      </c>
      <c r="F408" s="5" t="s">
        <v>1686</v>
      </c>
      <c r="G408" s="5" t="s">
        <v>1685</v>
      </c>
      <c r="H408" s="5" t="s">
        <v>1686</v>
      </c>
      <c r="I408" s="5" t="s">
        <v>1882</v>
      </c>
      <c r="J408" s="5" t="s">
        <v>1678</v>
      </c>
      <c r="K408" s="5" t="s">
        <v>1679</v>
      </c>
      <c r="L408" s="5" t="s">
        <v>1680</v>
      </c>
      <c r="M408" s="5" t="s">
        <v>1681</v>
      </c>
      <c r="N408" s="5" t="s">
        <v>1682</v>
      </c>
      <c r="O408" s="5" t="s">
        <v>1680</v>
      </c>
      <c r="P408" s="6">
        <v>6380</v>
      </c>
      <c r="Q408" s="6">
        <v>6380</v>
      </c>
      <c r="R408" s="6">
        <v>0</v>
      </c>
      <c r="S408" s="6">
        <v>0</v>
      </c>
      <c r="T408" s="6">
        <v>0</v>
      </c>
    </row>
    <row r="409" spans="1:20">
      <c r="A409" s="5" t="s">
        <v>1672</v>
      </c>
      <c r="B409" s="5" t="s">
        <v>1673</v>
      </c>
      <c r="C409" s="5" t="s">
        <v>1674</v>
      </c>
      <c r="D409" s="5" t="s">
        <v>2</v>
      </c>
      <c r="E409" s="5" t="s">
        <v>1687</v>
      </c>
      <c r="F409" s="5" t="s">
        <v>1688</v>
      </c>
      <c r="G409" s="5" t="s">
        <v>1687</v>
      </c>
      <c r="H409" s="5" t="s">
        <v>1688</v>
      </c>
      <c r="I409" s="5" t="s">
        <v>1882</v>
      </c>
      <c r="J409" s="5" t="s">
        <v>1678</v>
      </c>
      <c r="K409" s="5" t="s">
        <v>1679</v>
      </c>
      <c r="L409" s="5" t="s">
        <v>1680</v>
      </c>
      <c r="M409" s="5" t="s">
        <v>1681</v>
      </c>
      <c r="N409" s="5" t="s">
        <v>1682</v>
      </c>
      <c r="O409" s="5" t="s">
        <v>1680</v>
      </c>
      <c r="P409" s="6">
        <v>6380</v>
      </c>
      <c r="Q409" s="6">
        <v>6380</v>
      </c>
      <c r="R409" s="6">
        <v>0</v>
      </c>
      <c r="S409" s="6">
        <v>0</v>
      </c>
      <c r="T409" s="6">
        <v>0</v>
      </c>
    </row>
    <row r="410" spans="1:20">
      <c r="A410" s="5" t="s">
        <v>1672</v>
      </c>
      <c r="B410" s="5" t="s">
        <v>1673</v>
      </c>
      <c r="C410" s="5" t="s">
        <v>1674</v>
      </c>
      <c r="D410" s="5" t="s">
        <v>2</v>
      </c>
      <c r="E410" s="5" t="s">
        <v>1689</v>
      </c>
      <c r="F410" s="5" t="s">
        <v>1690</v>
      </c>
      <c r="G410" s="5" t="s">
        <v>1689</v>
      </c>
      <c r="H410" s="5" t="s">
        <v>1690</v>
      </c>
      <c r="I410" s="5" t="s">
        <v>1882</v>
      </c>
      <c r="J410" s="5" t="s">
        <v>1678</v>
      </c>
      <c r="K410" s="5" t="s">
        <v>1679</v>
      </c>
      <c r="L410" s="5" t="s">
        <v>1680</v>
      </c>
      <c r="M410" s="5" t="s">
        <v>1681</v>
      </c>
      <c r="N410" s="5" t="s">
        <v>1682</v>
      </c>
      <c r="O410" s="5" t="s">
        <v>1680</v>
      </c>
      <c r="P410" s="6">
        <v>6380</v>
      </c>
      <c r="Q410" s="6">
        <v>6380</v>
      </c>
      <c r="R410" s="6">
        <v>0</v>
      </c>
      <c r="S410" s="6">
        <v>0</v>
      </c>
      <c r="T410" s="6">
        <v>0</v>
      </c>
    </row>
    <row r="411" spans="1:20">
      <c r="A411" s="5" t="s">
        <v>1672</v>
      </c>
      <c r="B411" s="5" t="s">
        <v>1673</v>
      </c>
      <c r="C411" s="5" t="s">
        <v>1674</v>
      </c>
      <c r="D411" s="5" t="s">
        <v>2</v>
      </c>
      <c r="E411" s="5" t="s">
        <v>1691</v>
      </c>
      <c r="F411" s="5" t="s">
        <v>1692</v>
      </c>
      <c r="G411" s="5" t="s">
        <v>1693</v>
      </c>
      <c r="H411" s="5" t="s">
        <v>1694</v>
      </c>
      <c r="I411" s="5" t="s">
        <v>1882</v>
      </c>
      <c r="J411" s="5" t="s">
        <v>1678</v>
      </c>
      <c r="K411" s="5" t="s">
        <v>1679</v>
      </c>
      <c r="L411" s="5" t="s">
        <v>1680</v>
      </c>
      <c r="M411" s="5" t="s">
        <v>1681</v>
      </c>
      <c r="N411" s="5" t="s">
        <v>1682</v>
      </c>
      <c r="O411" s="5" t="s">
        <v>1680</v>
      </c>
      <c r="P411" s="6">
        <v>6380</v>
      </c>
      <c r="Q411" s="6">
        <v>6380</v>
      </c>
      <c r="R411" s="6">
        <v>0</v>
      </c>
      <c r="S411" s="6">
        <v>0</v>
      </c>
      <c r="T411" s="6">
        <v>0</v>
      </c>
    </row>
    <row r="412" spans="1:20">
      <c r="A412" s="5" t="s">
        <v>1672</v>
      </c>
      <c r="B412" s="5" t="s">
        <v>1673</v>
      </c>
      <c r="C412" s="5" t="s">
        <v>1674</v>
      </c>
      <c r="D412" s="5" t="s">
        <v>2</v>
      </c>
      <c r="E412" s="5" t="s">
        <v>1695</v>
      </c>
      <c r="F412" s="5" t="s">
        <v>1696</v>
      </c>
      <c r="G412" s="5" t="s">
        <v>1697</v>
      </c>
      <c r="H412" s="5" t="s">
        <v>1698</v>
      </c>
      <c r="I412" s="5" t="s">
        <v>1882</v>
      </c>
      <c r="J412" s="5" t="s">
        <v>1678</v>
      </c>
      <c r="K412" s="5" t="s">
        <v>1679</v>
      </c>
      <c r="L412" s="5" t="s">
        <v>1680</v>
      </c>
      <c r="M412" s="5" t="s">
        <v>1681</v>
      </c>
      <c r="N412" s="5" t="s">
        <v>1682</v>
      </c>
      <c r="O412" s="5" t="s">
        <v>1680</v>
      </c>
      <c r="P412" s="6">
        <v>6380</v>
      </c>
      <c r="Q412" s="6">
        <v>6380</v>
      </c>
      <c r="R412" s="6">
        <v>0</v>
      </c>
      <c r="S412" s="6">
        <v>0</v>
      </c>
      <c r="T412" s="6">
        <v>0</v>
      </c>
    </row>
    <row r="413" spans="1:20">
      <c r="A413" s="5" t="s">
        <v>1672</v>
      </c>
      <c r="B413" s="5" t="s">
        <v>1673</v>
      </c>
      <c r="C413" s="5" t="s">
        <v>1674</v>
      </c>
      <c r="D413" s="5" t="s">
        <v>2</v>
      </c>
      <c r="E413" s="5" t="s">
        <v>1699</v>
      </c>
      <c r="F413" s="5" t="s">
        <v>1700</v>
      </c>
      <c r="G413" s="5" t="s">
        <v>1699</v>
      </c>
      <c r="H413" s="5" t="s">
        <v>1700</v>
      </c>
      <c r="I413" s="5" t="s">
        <v>1882</v>
      </c>
      <c r="J413" s="5" t="s">
        <v>1678</v>
      </c>
      <c r="K413" s="5" t="s">
        <v>1679</v>
      </c>
      <c r="L413" s="5" t="s">
        <v>1680</v>
      </c>
      <c r="M413" s="5" t="s">
        <v>1681</v>
      </c>
      <c r="N413" s="5" t="s">
        <v>1682</v>
      </c>
      <c r="O413" s="5" t="s">
        <v>1680</v>
      </c>
      <c r="P413" s="6">
        <v>6380</v>
      </c>
      <c r="Q413" s="6">
        <v>6380</v>
      </c>
      <c r="R413" s="6">
        <v>0</v>
      </c>
      <c r="S413" s="6">
        <v>0</v>
      </c>
      <c r="T413" s="6">
        <v>0</v>
      </c>
    </row>
    <row r="414" spans="1:20">
      <c r="A414" s="5" t="s">
        <v>1672</v>
      </c>
      <c r="B414" s="5" t="s">
        <v>1673</v>
      </c>
      <c r="C414" s="5" t="s">
        <v>1674</v>
      </c>
      <c r="D414" s="5" t="s">
        <v>2</v>
      </c>
      <c r="E414" s="5" t="s">
        <v>1701</v>
      </c>
      <c r="F414" s="5" t="s">
        <v>1702</v>
      </c>
      <c r="G414" s="5" t="s">
        <v>1701</v>
      </c>
      <c r="H414" s="5" t="s">
        <v>1702</v>
      </c>
      <c r="I414" s="5" t="s">
        <v>1882</v>
      </c>
      <c r="J414" s="5" t="s">
        <v>1678</v>
      </c>
      <c r="K414" s="5" t="s">
        <v>1679</v>
      </c>
      <c r="L414" s="5" t="s">
        <v>1680</v>
      </c>
      <c r="M414" s="5" t="s">
        <v>1681</v>
      </c>
      <c r="N414" s="5" t="s">
        <v>1682</v>
      </c>
      <c r="O414" s="5" t="s">
        <v>1680</v>
      </c>
      <c r="P414" s="6">
        <v>6380</v>
      </c>
      <c r="Q414" s="6">
        <v>6380</v>
      </c>
      <c r="R414" s="6">
        <v>0</v>
      </c>
      <c r="S414" s="6">
        <v>0</v>
      </c>
      <c r="T414" s="6">
        <v>0</v>
      </c>
    </row>
    <row r="415" spans="1:20">
      <c r="A415" s="5" t="s">
        <v>1672</v>
      </c>
      <c r="B415" s="5" t="s">
        <v>1673</v>
      </c>
      <c r="C415" s="5" t="s">
        <v>1674</v>
      </c>
      <c r="D415" s="5" t="s">
        <v>2</v>
      </c>
      <c r="E415" s="5" t="s">
        <v>1703</v>
      </c>
      <c r="F415" s="5" t="s">
        <v>1704</v>
      </c>
      <c r="G415" s="5" t="s">
        <v>1705</v>
      </c>
      <c r="H415" s="5" t="s">
        <v>1706</v>
      </c>
      <c r="I415" s="5" t="s">
        <v>1882</v>
      </c>
      <c r="J415" s="5" t="s">
        <v>1678</v>
      </c>
      <c r="K415" s="5" t="s">
        <v>1679</v>
      </c>
      <c r="L415" s="5" t="s">
        <v>1680</v>
      </c>
      <c r="M415" s="5" t="s">
        <v>1681</v>
      </c>
      <c r="N415" s="5" t="s">
        <v>1682</v>
      </c>
      <c r="O415" s="5" t="s">
        <v>1680</v>
      </c>
      <c r="P415" s="6">
        <v>6380</v>
      </c>
      <c r="Q415" s="6">
        <v>6380</v>
      </c>
      <c r="R415" s="6">
        <v>0</v>
      </c>
      <c r="S415" s="6">
        <v>0</v>
      </c>
      <c r="T415" s="6">
        <v>0</v>
      </c>
    </row>
    <row r="416" spans="1:20">
      <c r="A416" s="5" t="s">
        <v>1672</v>
      </c>
      <c r="B416" s="5" t="s">
        <v>1673</v>
      </c>
      <c r="C416" s="5" t="s">
        <v>1674</v>
      </c>
      <c r="D416" s="5" t="s">
        <v>2</v>
      </c>
      <c r="E416" s="5" t="s">
        <v>1707</v>
      </c>
      <c r="F416" s="5" t="s">
        <v>1708</v>
      </c>
      <c r="G416" s="5" t="s">
        <v>1707</v>
      </c>
      <c r="H416" s="5" t="s">
        <v>1708</v>
      </c>
      <c r="I416" s="5" t="s">
        <v>1882</v>
      </c>
      <c r="J416" s="5" t="s">
        <v>1678</v>
      </c>
      <c r="K416" s="5" t="s">
        <v>1679</v>
      </c>
      <c r="L416" s="5" t="s">
        <v>1680</v>
      </c>
      <c r="M416" s="5" t="s">
        <v>1681</v>
      </c>
      <c r="N416" s="5" t="s">
        <v>1682</v>
      </c>
      <c r="O416" s="5" t="s">
        <v>1680</v>
      </c>
      <c r="P416" s="6">
        <v>6380</v>
      </c>
      <c r="Q416" s="6">
        <v>6380</v>
      </c>
      <c r="R416" s="6">
        <v>0</v>
      </c>
      <c r="S416" s="6">
        <v>0</v>
      </c>
      <c r="T416" s="6">
        <v>0</v>
      </c>
    </row>
    <row r="417" spans="1:20">
      <c r="A417" s="5" t="s">
        <v>1672</v>
      </c>
      <c r="B417" s="5" t="s">
        <v>1673</v>
      </c>
      <c r="C417" s="5" t="s">
        <v>1674</v>
      </c>
      <c r="D417" s="5" t="s">
        <v>2</v>
      </c>
      <c r="E417" s="5" t="s">
        <v>1709</v>
      </c>
      <c r="F417" s="5" t="s">
        <v>1710</v>
      </c>
      <c r="G417" s="5" t="s">
        <v>1709</v>
      </c>
      <c r="H417" s="5" t="s">
        <v>1710</v>
      </c>
      <c r="I417" s="5" t="s">
        <v>1882</v>
      </c>
      <c r="J417" s="5" t="s">
        <v>1678</v>
      </c>
      <c r="K417" s="5" t="s">
        <v>1679</v>
      </c>
      <c r="L417" s="5" t="s">
        <v>1680</v>
      </c>
      <c r="M417" s="5" t="s">
        <v>1681</v>
      </c>
      <c r="N417" s="5" t="s">
        <v>1682</v>
      </c>
      <c r="O417" s="5" t="s">
        <v>1680</v>
      </c>
      <c r="P417" s="6">
        <v>6380</v>
      </c>
      <c r="Q417" s="6">
        <v>6380</v>
      </c>
      <c r="R417" s="6">
        <v>0</v>
      </c>
      <c r="S417" s="6">
        <v>0</v>
      </c>
      <c r="T417" s="6">
        <v>0</v>
      </c>
    </row>
    <row r="418" spans="1:20">
      <c r="A418" s="5" t="s">
        <v>1672</v>
      </c>
      <c r="B418" s="5" t="s">
        <v>1673</v>
      </c>
      <c r="C418" s="5" t="s">
        <v>1674</v>
      </c>
      <c r="D418" s="5" t="s">
        <v>2</v>
      </c>
      <c r="E418" s="5" t="s">
        <v>1711</v>
      </c>
      <c r="F418" s="5" t="s">
        <v>1712</v>
      </c>
      <c r="G418" s="5" t="s">
        <v>1711</v>
      </c>
      <c r="H418" s="5" t="s">
        <v>1712</v>
      </c>
      <c r="I418" s="5" t="s">
        <v>1882</v>
      </c>
      <c r="J418" s="5" t="s">
        <v>1678</v>
      </c>
      <c r="K418" s="5" t="s">
        <v>1679</v>
      </c>
      <c r="L418" s="5" t="s">
        <v>1680</v>
      </c>
      <c r="M418" s="5" t="s">
        <v>1681</v>
      </c>
      <c r="N418" s="5" t="s">
        <v>1682</v>
      </c>
      <c r="O418" s="5" t="s">
        <v>1680</v>
      </c>
      <c r="P418" s="6">
        <v>6380</v>
      </c>
      <c r="Q418" s="6">
        <v>6380</v>
      </c>
      <c r="R418" s="6">
        <v>0</v>
      </c>
      <c r="S418" s="6">
        <v>0</v>
      </c>
      <c r="T418" s="6">
        <v>0</v>
      </c>
    </row>
    <row r="419" spans="1:20">
      <c r="A419" s="5" t="s">
        <v>1672</v>
      </c>
      <c r="B419" s="5" t="s">
        <v>1673</v>
      </c>
      <c r="C419" s="5" t="s">
        <v>1674</v>
      </c>
      <c r="D419" s="5" t="s">
        <v>2</v>
      </c>
      <c r="E419" s="5" t="s">
        <v>1713</v>
      </c>
      <c r="F419" s="5" t="s">
        <v>1714</v>
      </c>
      <c r="G419" s="5" t="s">
        <v>1713</v>
      </c>
      <c r="H419" s="5" t="s">
        <v>1714</v>
      </c>
      <c r="I419" s="5" t="s">
        <v>1882</v>
      </c>
      <c r="J419" s="5" t="s">
        <v>1678</v>
      </c>
      <c r="K419" s="5" t="s">
        <v>1679</v>
      </c>
      <c r="L419" s="5" t="s">
        <v>1680</v>
      </c>
      <c r="M419" s="5" t="s">
        <v>1681</v>
      </c>
      <c r="N419" s="5" t="s">
        <v>1682</v>
      </c>
      <c r="O419" s="5" t="s">
        <v>1680</v>
      </c>
      <c r="P419" s="6">
        <v>6380</v>
      </c>
      <c r="Q419" s="6">
        <v>6380</v>
      </c>
      <c r="R419" s="6">
        <v>0</v>
      </c>
      <c r="S419" s="6">
        <v>0</v>
      </c>
      <c r="T419" s="6">
        <v>0</v>
      </c>
    </row>
    <row r="420" spans="1:20">
      <c r="A420" s="5" t="s">
        <v>1672</v>
      </c>
      <c r="B420" s="5" t="s">
        <v>1673</v>
      </c>
      <c r="C420" s="5" t="s">
        <v>1864</v>
      </c>
      <c r="D420" s="5" t="s">
        <v>309</v>
      </c>
      <c r="E420" s="5" t="s">
        <v>1865</v>
      </c>
      <c r="F420" s="5" t="s">
        <v>1866</v>
      </c>
      <c r="G420" s="5" t="s">
        <v>1865</v>
      </c>
      <c r="H420" s="5" t="s">
        <v>1866</v>
      </c>
      <c r="I420" s="5" t="s">
        <v>1882</v>
      </c>
      <c r="J420" s="5" t="s">
        <v>1678</v>
      </c>
      <c r="K420" s="5" t="s">
        <v>1679</v>
      </c>
      <c r="L420" s="5" t="s">
        <v>1680</v>
      </c>
      <c r="M420" s="5" t="s">
        <v>1681</v>
      </c>
      <c r="N420" s="5" t="s">
        <v>1682</v>
      </c>
      <c r="O420" s="5" t="s">
        <v>1680</v>
      </c>
      <c r="P420" s="6">
        <v>510</v>
      </c>
      <c r="Q420" s="6">
        <v>510</v>
      </c>
      <c r="R420" s="6">
        <v>0</v>
      </c>
      <c r="S420" s="6">
        <v>0</v>
      </c>
      <c r="T420" s="6">
        <v>0</v>
      </c>
    </row>
    <row r="421" spans="1:20">
      <c r="A421" s="5" t="s">
        <v>1672</v>
      </c>
      <c r="B421" s="5" t="s">
        <v>1673</v>
      </c>
      <c r="C421" s="5" t="s">
        <v>1864</v>
      </c>
      <c r="D421" s="5" t="s">
        <v>309</v>
      </c>
      <c r="E421" s="5" t="s">
        <v>1867</v>
      </c>
      <c r="F421" s="5" t="s">
        <v>1868</v>
      </c>
      <c r="G421" s="5" t="s">
        <v>1867</v>
      </c>
      <c r="H421" s="5" t="s">
        <v>1868</v>
      </c>
      <c r="I421" s="5" t="s">
        <v>1882</v>
      </c>
      <c r="J421" s="5" t="s">
        <v>1678</v>
      </c>
      <c r="K421" s="5" t="s">
        <v>1679</v>
      </c>
      <c r="L421" s="5" t="s">
        <v>1680</v>
      </c>
      <c r="M421" s="5" t="s">
        <v>1681</v>
      </c>
      <c r="N421" s="5" t="s">
        <v>1682</v>
      </c>
      <c r="O421" s="5" t="s">
        <v>1680</v>
      </c>
      <c r="P421" s="6">
        <v>510</v>
      </c>
      <c r="Q421" s="6">
        <v>510</v>
      </c>
      <c r="R421" s="6">
        <v>0</v>
      </c>
      <c r="S421" s="6">
        <v>0</v>
      </c>
      <c r="T421" s="6">
        <v>0</v>
      </c>
    </row>
    <row r="422" spans="1:20">
      <c r="A422" s="5" t="s">
        <v>1672</v>
      </c>
      <c r="B422" s="5" t="s">
        <v>1673</v>
      </c>
      <c r="C422" s="5" t="s">
        <v>1715</v>
      </c>
      <c r="D422" s="5" t="s">
        <v>325</v>
      </c>
      <c r="E422" s="5" t="s">
        <v>1716</v>
      </c>
      <c r="F422" s="5" t="s">
        <v>1717</v>
      </c>
      <c r="G422" s="5" t="s">
        <v>1716</v>
      </c>
      <c r="H422" s="5" t="s">
        <v>1717</v>
      </c>
      <c r="I422" s="5" t="s">
        <v>1882</v>
      </c>
      <c r="J422" s="5" t="s">
        <v>1678</v>
      </c>
      <c r="K422" s="5" t="s">
        <v>1679</v>
      </c>
      <c r="L422" s="5" t="s">
        <v>1680</v>
      </c>
      <c r="M422" s="5" t="s">
        <v>1681</v>
      </c>
      <c r="N422" s="5" t="s">
        <v>1682</v>
      </c>
      <c r="O422" s="5" t="s">
        <v>1680</v>
      </c>
      <c r="P422" s="6">
        <v>86495</v>
      </c>
      <c r="Q422" s="6">
        <v>86495</v>
      </c>
      <c r="R422" s="6">
        <v>0</v>
      </c>
      <c r="S422" s="6">
        <v>0</v>
      </c>
      <c r="T422" s="6">
        <v>0</v>
      </c>
    </row>
    <row r="423" spans="1:20">
      <c r="A423" s="5" t="s">
        <v>1672</v>
      </c>
      <c r="B423" s="5" t="s">
        <v>1673</v>
      </c>
      <c r="C423" s="5" t="s">
        <v>1715</v>
      </c>
      <c r="D423" s="5" t="s">
        <v>325</v>
      </c>
      <c r="E423" s="5" t="s">
        <v>1718</v>
      </c>
      <c r="F423" s="5" t="s">
        <v>1719</v>
      </c>
      <c r="G423" s="5" t="s">
        <v>1718</v>
      </c>
      <c r="H423" s="5" t="s">
        <v>1719</v>
      </c>
      <c r="I423" s="5" t="s">
        <v>1882</v>
      </c>
      <c r="J423" s="5" t="s">
        <v>1678</v>
      </c>
      <c r="K423" s="5" t="s">
        <v>1679</v>
      </c>
      <c r="L423" s="5" t="s">
        <v>1680</v>
      </c>
      <c r="M423" s="5" t="s">
        <v>1681</v>
      </c>
      <c r="N423" s="5" t="s">
        <v>1682</v>
      </c>
      <c r="O423" s="5" t="s">
        <v>1680</v>
      </c>
      <c r="P423" s="6">
        <v>86495</v>
      </c>
      <c r="Q423" s="6">
        <v>86495</v>
      </c>
      <c r="R423" s="6">
        <v>0</v>
      </c>
      <c r="S423" s="6">
        <v>0</v>
      </c>
      <c r="T423" s="6">
        <v>0</v>
      </c>
    </row>
    <row r="424" spans="1:20">
      <c r="A424" s="5" t="s">
        <v>1672</v>
      </c>
      <c r="B424" s="5" t="s">
        <v>1673</v>
      </c>
      <c r="C424" s="5" t="s">
        <v>1715</v>
      </c>
      <c r="D424" s="5" t="s">
        <v>325</v>
      </c>
      <c r="E424" s="5" t="s">
        <v>1720</v>
      </c>
      <c r="F424" s="5" t="s">
        <v>1721</v>
      </c>
      <c r="G424" s="5" t="s">
        <v>1720</v>
      </c>
      <c r="H424" s="5" t="s">
        <v>1721</v>
      </c>
      <c r="I424" s="5" t="s">
        <v>1882</v>
      </c>
      <c r="J424" s="5" t="s">
        <v>1678</v>
      </c>
      <c r="K424" s="5" t="s">
        <v>1679</v>
      </c>
      <c r="L424" s="5" t="s">
        <v>1680</v>
      </c>
      <c r="M424" s="5" t="s">
        <v>1681</v>
      </c>
      <c r="N424" s="5" t="s">
        <v>1682</v>
      </c>
      <c r="O424" s="5" t="s">
        <v>1680</v>
      </c>
      <c r="P424" s="6">
        <v>86495</v>
      </c>
      <c r="Q424" s="6">
        <v>86495</v>
      </c>
      <c r="R424" s="6">
        <v>0</v>
      </c>
      <c r="S424" s="6">
        <v>0</v>
      </c>
      <c r="T424" s="6">
        <v>0</v>
      </c>
    </row>
    <row r="425" spans="1:20">
      <c r="A425" s="5" t="s">
        <v>1672</v>
      </c>
      <c r="B425" s="5" t="s">
        <v>1673</v>
      </c>
      <c r="C425" s="5" t="s">
        <v>1715</v>
      </c>
      <c r="D425" s="5" t="s">
        <v>325</v>
      </c>
      <c r="E425" s="5" t="s">
        <v>1722</v>
      </c>
      <c r="F425" s="5" t="s">
        <v>1723</v>
      </c>
      <c r="G425" s="5" t="s">
        <v>1724</v>
      </c>
      <c r="H425" s="5" t="s">
        <v>1725</v>
      </c>
      <c r="I425" s="5" t="s">
        <v>1882</v>
      </c>
      <c r="J425" s="5" t="s">
        <v>1678</v>
      </c>
      <c r="K425" s="5" t="s">
        <v>1679</v>
      </c>
      <c r="L425" s="5" t="s">
        <v>1680</v>
      </c>
      <c r="M425" s="5" t="s">
        <v>1681</v>
      </c>
      <c r="N425" s="5" t="s">
        <v>1682</v>
      </c>
      <c r="O425" s="5" t="s">
        <v>1680</v>
      </c>
      <c r="P425" s="6">
        <v>86495</v>
      </c>
      <c r="Q425" s="6">
        <v>86495</v>
      </c>
      <c r="R425" s="6">
        <v>0</v>
      </c>
      <c r="S425" s="6">
        <v>0</v>
      </c>
      <c r="T425" s="6">
        <v>0</v>
      </c>
    </row>
    <row r="426" spans="1:20">
      <c r="A426" s="5" t="s">
        <v>1672</v>
      </c>
      <c r="B426" s="5" t="s">
        <v>1673</v>
      </c>
      <c r="C426" s="5" t="s">
        <v>1715</v>
      </c>
      <c r="D426" s="5" t="s">
        <v>325</v>
      </c>
      <c r="E426" s="5" t="s">
        <v>1726</v>
      </c>
      <c r="F426" s="5" t="s">
        <v>1727</v>
      </c>
      <c r="G426" s="5" t="s">
        <v>1726</v>
      </c>
      <c r="H426" s="5" t="s">
        <v>1727</v>
      </c>
      <c r="I426" s="5" t="s">
        <v>1882</v>
      </c>
      <c r="J426" s="5" t="s">
        <v>1678</v>
      </c>
      <c r="K426" s="5" t="s">
        <v>1679</v>
      </c>
      <c r="L426" s="5" t="s">
        <v>1680</v>
      </c>
      <c r="M426" s="5" t="s">
        <v>1681</v>
      </c>
      <c r="N426" s="5" t="s">
        <v>1682</v>
      </c>
      <c r="O426" s="5" t="s">
        <v>1680</v>
      </c>
      <c r="P426" s="6">
        <v>86495</v>
      </c>
      <c r="Q426" s="6">
        <v>86495</v>
      </c>
      <c r="R426" s="6">
        <v>0</v>
      </c>
      <c r="S426" s="6">
        <v>0</v>
      </c>
      <c r="T426" s="6">
        <v>0</v>
      </c>
    </row>
    <row r="427" spans="1:20">
      <c r="A427" s="5" t="s">
        <v>1672</v>
      </c>
      <c r="B427" s="5" t="s">
        <v>1673</v>
      </c>
      <c r="C427" s="5" t="s">
        <v>1715</v>
      </c>
      <c r="D427" s="5" t="s">
        <v>325</v>
      </c>
      <c r="E427" s="5" t="s">
        <v>1728</v>
      </c>
      <c r="F427" s="5" t="s">
        <v>1729</v>
      </c>
      <c r="G427" s="5" t="s">
        <v>1728</v>
      </c>
      <c r="H427" s="5" t="s">
        <v>1729</v>
      </c>
      <c r="I427" s="5" t="s">
        <v>1882</v>
      </c>
      <c r="J427" s="5" t="s">
        <v>1678</v>
      </c>
      <c r="K427" s="5" t="s">
        <v>1679</v>
      </c>
      <c r="L427" s="5" t="s">
        <v>1680</v>
      </c>
      <c r="M427" s="5" t="s">
        <v>1681</v>
      </c>
      <c r="N427" s="5" t="s">
        <v>1682</v>
      </c>
      <c r="O427" s="5" t="s">
        <v>1680</v>
      </c>
      <c r="P427" s="6">
        <v>86495</v>
      </c>
      <c r="Q427" s="6">
        <v>86495</v>
      </c>
      <c r="R427" s="6">
        <v>0</v>
      </c>
      <c r="S427" s="6">
        <v>0</v>
      </c>
      <c r="T427" s="6">
        <v>0</v>
      </c>
    </row>
    <row r="428" spans="1:20">
      <c r="A428" s="5" t="s">
        <v>1672</v>
      </c>
      <c r="B428" s="5" t="s">
        <v>1673</v>
      </c>
      <c r="C428" s="5" t="s">
        <v>1715</v>
      </c>
      <c r="D428" s="5" t="s">
        <v>325</v>
      </c>
      <c r="E428" s="5" t="s">
        <v>1730</v>
      </c>
      <c r="F428" s="5" t="s">
        <v>1731</v>
      </c>
      <c r="G428" s="5" t="s">
        <v>1730</v>
      </c>
      <c r="H428" s="5" t="s">
        <v>1731</v>
      </c>
      <c r="I428" s="5" t="s">
        <v>1882</v>
      </c>
      <c r="J428" s="5" t="s">
        <v>1678</v>
      </c>
      <c r="K428" s="5" t="s">
        <v>1679</v>
      </c>
      <c r="L428" s="5" t="s">
        <v>1680</v>
      </c>
      <c r="M428" s="5" t="s">
        <v>1681</v>
      </c>
      <c r="N428" s="5" t="s">
        <v>1682</v>
      </c>
      <c r="O428" s="5" t="s">
        <v>1680</v>
      </c>
      <c r="P428" s="6">
        <v>86495</v>
      </c>
      <c r="Q428" s="6">
        <v>86495</v>
      </c>
      <c r="R428" s="6">
        <v>0</v>
      </c>
      <c r="S428" s="6">
        <v>0</v>
      </c>
      <c r="T428" s="6">
        <v>0</v>
      </c>
    </row>
    <row r="429" spans="1:20">
      <c r="A429" s="5" t="s">
        <v>1672</v>
      </c>
      <c r="B429" s="5" t="s">
        <v>1673</v>
      </c>
      <c r="C429" s="5" t="s">
        <v>1715</v>
      </c>
      <c r="D429" s="5" t="s">
        <v>325</v>
      </c>
      <c r="E429" s="5" t="s">
        <v>1732</v>
      </c>
      <c r="F429" s="5" t="s">
        <v>1733</v>
      </c>
      <c r="G429" s="5" t="s">
        <v>1732</v>
      </c>
      <c r="H429" s="5" t="s">
        <v>1733</v>
      </c>
      <c r="I429" s="5" t="s">
        <v>1882</v>
      </c>
      <c r="J429" s="5" t="s">
        <v>1678</v>
      </c>
      <c r="K429" s="5" t="s">
        <v>1679</v>
      </c>
      <c r="L429" s="5" t="s">
        <v>1680</v>
      </c>
      <c r="M429" s="5" t="s">
        <v>1681</v>
      </c>
      <c r="N429" s="5" t="s">
        <v>1682</v>
      </c>
      <c r="O429" s="5" t="s">
        <v>1680</v>
      </c>
      <c r="P429" s="6">
        <v>86495</v>
      </c>
      <c r="Q429" s="6">
        <v>86495</v>
      </c>
      <c r="R429" s="6">
        <v>0</v>
      </c>
      <c r="S429" s="6">
        <v>0</v>
      </c>
      <c r="T429" s="6">
        <v>0</v>
      </c>
    </row>
    <row r="430" spans="1:20">
      <c r="A430" s="5" t="s">
        <v>1672</v>
      </c>
      <c r="B430" s="5" t="s">
        <v>1673</v>
      </c>
      <c r="C430" s="5" t="s">
        <v>1715</v>
      </c>
      <c r="D430" s="5" t="s">
        <v>325</v>
      </c>
      <c r="E430" s="5" t="s">
        <v>1734</v>
      </c>
      <c r="F430" s="5" t="s">
        <v>1735</v>
      </c>
      <c r="G430" s="5" t="s">
        <v>1734</v>
      </c>
      <c r="H430" s="5" t="s">
        <v>1735</v>
      </c>
      <c r="I430" s="5" t="s">
        <v>1882</v>
      </c>
      <c r="J430" s="5" t="s">
        <v>1678</v>
      </c>
      <c r="K430" s="5" t="s">
        <v>1679</v>
      </c>
      <c r="L430" s="5" t="s">
        <v>1680</v>
      </c>
      <c r="M430" s="5" t="s">
        <v>1681</v>
      </c>
      <c r="N430" s="5" t="s">
        <v>1682</v>
      </c>
      <c r="O430" s="5" t="s">
        <v>1680</v>
      </c>
      <c r="P430" s="6">
        <v>86495</v>
      </c>
      <c r="Q430" s="6">
        <v>86495</v>
      </c>
      <c r="R430" s="6">
        <v>0</v>
      </c>
      <c r="S430" s="6">
        <v>0</v>
      </c>
      <c r="T430" s="6">
        <v>0</v>
      </c>
    </row>
    <row r="431" spans="1:20">
      <c r="A431" s="5" t="s">
        <v>1672</v>
      </c>
      <c r="B431" s="5" t="s">
        <v>1673</v>
      </c>
      <c r="C431" s="5" t="s">
        <v>1715</v>
      </c>
      <c r="D431" s="5" t="s">
        <v>325</v>
      </c>
      <c r="E431" s="5" t="s">
        <v>1736</v>
      </c>
      <c r="F431" s="5" t="s">
        <v>1737</v>
      </c>
      <c r="G431" s="5" t="s">
        <v>1738</v>
      </c>
      <c r="H431" s="5" t="s">
        <v>1739</v>
      </c>
      <c r="I431" s="5" t="s">
        <v>1882</v>
      </c>
      <c r="J431" s="5" t="s">
        <v>1678</v>
      </c>
      <c r="K431" s="5" t="s">
        <v>1679</v>
      </c>
      <c r="L431" s="5" t="s">
        <v>1680</v>
      </c>
      <c r="M431" s="5" t="s">
        <v>1681</v>
      </c>
      <c r="N431" s="5" t="s">
        <v>1682</v>
      </c>
      <c r="O431" s="5" t="s">
        <v>1680</v>
      </c>
      <c r="P431" s="6">
        <v>86495</v>
      </c>
      <c r="Q431" s="6">
        <v>86495</v>
      </c>
      <c r="R431" s="6">
        <v>0</v>
      </c>
      <c r="S431" s="6">
        <v>0</v>
      </c>
      <c r="T431" s="6">
        <v>0</v>
      </c>
    </row>
    <row r="432" spans="1:20">
      <c r="A432" s="5" t="s">
        <v>1672</v>
      </c>
      <c r="B432" s="5" t="s">
        <v>1673</v>
      </c>
      <c r="C432" s="5" t="s">
        <v>1715</v>
      </c>
      <c r="D432" s="5" t="s">
        <v>325</v>
      </c>
      <c r="E432" s="5" t="s">
        <v>1740</v>
      </c>
      <c r="F432" s="5" t="s">
        <v>1741</v>
      </c>
      <c r="G432" s="5" t="s">
        <v>1740</v>
      </c>
      <c r="H432" s="5" t="s">
        <v>1741</v>
      </c>
      <c r="I432" s="5" t="s">
        <v>1882</v>
      </c>
      <c r="J432" s="5" t="s">
        <v>1678</v>
      </c>
      <c r="K432" s="5" t="s">
        <v>1679</v>
      </c>
      <c r="L432" s="5" t="s">
        <v>1680</v>
      </c>
      <c r="M432" s="5" t="s">
        <v>1681</v>
      </c>
      <c r="N432" s="5" t="s">
        <v>1682</v>
      </c>
      <c r="O432" s="5" t="s">
        <v>1680</v>
      </c>
      <c r="P432" s="6">
        <v>86495</v>
      </c>
      <c r="Q432" s="6">
        <v>86495</v>
      </c>
      <c r="R432" s="6">
        <v>0</v>
      </c>
      <c r="S432" s="6">
        <v>0</v>
      </c>
      <c r="T432" s="6">
        <v>0</v>
      </c>
    </row>
    <row r="433" spans="1:20">
      <c r="A433" s="5" t="s">
        <v>1672</v>
      </c>
      <c r="B433" s="5" t="s">
        <v>1673</v>
      </c>
      <c r="C433" s="5" t="s">
        <v>1715</v>
      </c>
      <c r="D433" s="5" t="s">
        <v>325</v>
      </c>
      <c r="E433" s="5" t="s">
        <v>1742</v>
      </c>
      <c r="F433" s="5" t="s">
        <v>1743</v>
      </c>
      <c r="G433" s="5" t="s">
        <v>1744</v>
      </c>
      <c r="H433" s="5" t="s">
        <v>1745</v>
      </c>
      <c r="I433" s="5" t="s">
        <v>1882</v>
      </c>
      <c r="J433" s="5" t="s">
        <v>1678</v>
      </c>
      <c r="K433" s="5" t="s">
        <v>1679</v>
      </c>
      <c r="L433" s="5" t="s">
        <v>1680</v>
      </c>
      <c r="M433" s="5" t="s">
        <v>1681</v>
      </c>
      <c r="N433" s="5" t="s">
        <v>1682</v>
      </c>
      <c r="O433" s="5" t="s">
        <v>1680</v>
      </c>
      <c r="P433" s="6">
        <v>86495</v>
      </c>
      <c r="Q433" s="6">
        <v>86495</v>
      </c>
      <c r="R433" s="6">
        <v>0</v>
      </c>
      <c r="S433" s="6">
        <v>0</v>
      </c>
      <c r="T433" s="6">
        <v>0</v>
      </c>
    </row>
    <row r="434" spans="1:20">
      <c r="A434" s="5" t="s">
        <v>1672</v>
      </c>
      <c r="B434" s="5" t="s">
        <v>1673</v>
      </c>
      <c r="C434" s="5" t="s">
        <v>1715</v>
      </c>
      <c r="D434" s="5" t="s">
        <v>325</v>
      </c>
      <c r="E434" s="5" t="s">
        <v>1746</v>
      </c>
      <c r="F434" s="5" t="s">
        <v>1747</v>
      </c>
      <c r="G434" s="5" t="s">
        <v>1748</v>
      </c>
      <c r="H434" s="5" t="s">
        <v>1749</v>
      </c>
      <c r="I434" s="5" t="s">
        <v>1882</v>
      </c>
      <c r="J434" s="5" t="s">
        <v>1678</v>
      </c>
      <c r="K434" s="5" t="s">
        <v>1679</v>
      </c>
      <c r="L434" s="5" t="s">
        <v>1680</v>
      </c>
      <c r="M434" s="5" t="s">
        <v>1681</v>
      </c>
      <c r="N434" s="5" t="s">
        <v>1682</v>
      </c>
      <c r="O434" s="5" t="s">
        <v>1680</v>
      </c>
      <c r="P434" s="6">
        <v>86495</v>
      </c>
      <c r="Q434" s="6">
        <v>86495</v>
      </c>
      <c r="R434" s="6">
        <v>0</v>
      </c>
      <c r="S434" s="6">
        <v>0</v>
      </c>
      <c r="T434" s="6">
        <v>0</v>
      </c>
    </row>
    <row r="435" spans="1:20">
      <c r="A435" s="5" t="s">
        <v>1672</v>
      </c>
      <c r="B435" s="5" t="s">
        <v>1673</v>
      </c>
      <c r="C435" s="5" t="s">
        <v>1715</v>
      </c>
      <c r="D435" s="5" t="s">
        <v>325</v>
      </c>
      <c r="E435" s="5" t="s">
        <v>1750</v>
      </c>
      <c r="F435" s="5" t="s">
        <v>1751</v>
      </c>
      <c r="G435" s="5" t="s">
        <v>1752</v>
      </c>
      <c r="H435" s="5" t="s">
        <v>1753</v>
      </c>
      <c r="I435" s="5" t="s">
        <v>1882</v>
      </c>
      <c r="J435" s="5" t="s">
        <v>1678</v>
      </c>
      <c r="K435" s="5" t="s">
        <v>1679</v>
      </c>
      <c r="L435" s="5" t="s">
        <v>1680</v>
      </c>
      <c r="M435" s="5" t="s">
        <v>1681</v>
      </c>
      <c r="N435" s="5" t="s">
        <v>1682</v>
      </c>
      <c r="O435" s="5" t="s">
        <v>1680</v>
      </c>
      <c r="P435" s="6">
        <v>86495</v>
      </c>
      <c r="Q435" s="6">
        <v>86495</v>
      </c>
      <c r="R435" s="6">
        <v>0</v>
      </c>
      <c r="S435" s="6">
        <v>0</v>
      </c>
      <c r="T435" s="6">
        <v>0</v>
      </c>
    </row>
    <row r="436" spans="1:20">
      <c r="A436" s="5" t="s">
        <v>1672</v>
      </c>
      <c r="B436" s="5" t="s">
        <v>1673</v>
      </c>
      <c r="C436" s="5" t="s">
        <v>1715</v>
      </c>
      <c r="D436" s="5" t="s">
        <v>325</v>
      </c>
      <c r="E436" s="5" t="s">
        <v>1754</v>
      </c>
      <c r="F436" s="5" t="s">
        <v>1755</v>
      </c>
      <c r="G436" s="5" t="s">
        <v>1756</v>
      </c>
      <c r="H436" s="5" t="s">
        <v>1757</v>
      </c>
      <c r="I436" s="5" t="s">
        <v>1882</v>
      </c>
      <c r="J436" s="5" t="s">
        <v>1678</v>
      </c>
      <c r="K436" s="5" t="s">
        <v>1679</v>
      </c>
      <c r="L436" s="5" t="s">
        <v>1680</v>
      </c>
      <c r="M436" s="5" t="s">
        <v>1681</v>
      </c>
      <c r="N436" s="5" t="s">
        <v>1682</v>
      </c>
      <c r="O436" s="5" t="s">
        <v>1680</v>
      </c>
      <c r="P436" s="6">
        <v>86495</v>
      </c>
      <c r="Q436" s="6">
        <v>86495</v>
      </c>
      <c r="R436" s="6">
        <v>0</v>
      </c>
      <c r="S436" s="6">
        <v>0</v>
      </c>
      <c r="T436" s="6">
        <v>0</v>
      </c>
    </row>
    <row r="437" spans="1:20">
      <c r="A437" s="5" t="s">
        <v>1672</v>
      </c>
      <c r="B437" s="5" t="s">
        <v>1673</v>
      </c>
      <c r="C437" s="5" t="s">
        <v>1715</v>
      </c>
      <c r="D437" s="5" t="s">
        <v>325</v>
      </c>
      <c r="E437" s="5" t="s">
        <v>1758</v>
      </c>
      <c r="F437" s="5" t="s">
        <v>1759</v>
      </c>
      <c r="G437" s="5" t="s">
        <v>1758</v>
      </c>
      <c r="H437" s="5" t="s">
        <v>1759</v>
      </c>
      <c r="I437" s="5" t="s">
        <v>1882</v>
      </c>
      <c r="J437" s="5" t="s">
        <v>1678</v>
      </c>
      <c r="K437" s="5" t="s">
        <v>1679</v>
      </c>
      <c r="L437" s="5" t="s">
        <v>1680</v>
      </c>
      <c r="M437" s="5" t="s">
        <v>1681</v>
      </c>
      <c r="N437" s="5" t="s">
        <v>1682</v>
      </c>
      <c r="O437" s="5" t="s">
        <v>1680</v>
      </c>
      <c r="P437" s="6">
        <v>86495</v>
      </c>
      <c r="Q437" s="6">
        <v>86495</v>
      </c>
      <c r="R437" s="6">
        <v>0</v>
      </c>
      <c r="S437" s="6">
        <v>0</v>
      </c>
      <c r="T437" s="6">
        <v>0</v>
      </c>
    </row>
    <row r="438" spans="1:20">
      <c r="A438" s="5" t="s">
        <v>1672</v>
      </c>
      <c r="B438" s="5" t="s">
        <v>1673</v>
      </c>
      <c r="C438" s="5" t="s">
        <v>1715</v>
      </c>
      <c r="D438" s="5" t="s">
        <v>325</v>
      </c>
      <c r="E438" s="5" t="s">
        <v>1760</v>
      </c>
      <c r="F438" s="5" t="s">
        <v>1761</v>
      </c>
      <c r="G438" s="5" t="s">
        <v>1760</v>
      </c>
      <c r="H438" s="5" t="s">
        <v>1761</v>
      </c>
      <c r="I438" s="5" t="s">
        <v>1882</v>
      </c>
      <c r="J438" s="5" t="s">
        <v>1678</v>
      </c>
      <c r="K438" s="5" t="s">
        <v>1679</v>
      </c>
      <c r="L438" s="5" t="s">
        <v>1680</v>
      </c>
      <c r="M438" s="5" t="s">
        <v>1681</v>
      </c>
      <c r="N438" s="5" t="s">
        <v>1682</v>
      </c>
      <c r="O438" s="5" t="s">
        <v>1680</v>
      </c>
      <c r="P438" s="6">
        <v>86495</v>
      </c>
      <c r="Q438" s="6">
        <v>86495</v>
      </c>
      <c r="R438" s="6">
        <v>0</v>
      </c>
      <c r="S438" s="6">
        <v>0</v>
      </c>
      <c r="T438" s="6">
        <v>0</v>
      </c>
    </row>
    <row r="439" spans="1:20">
      <c r="A439" s="5" t="s">
        <v>1672</v>
      </c>
      <c r="B439" s="5" t="s">
        <v>1673</v>
      </c>
      <c r="C439" s="5" t="s">
        <v>1715</v>
      </c>
      <c r="D439" s="5" t="s">
        <v>325</v>
      </c>
      <c r="E439" s="5" t="s">
        <v>1762</v>
      </c>
      <c r="F439" s="5" t="s">
        <v>1763</v>
      </c>
      <c r="G439" s="5" t="s">
        <v>1764</v>
      </c>
      <c r="H439" s="5" t="s">
        <v>1765</v>
      </c>
      <c r="I439" s="5" t="s">
        <v>1882</v>
      </c>
      <c r="J439" s="5" t="s">
        <v>1678</v>
      </c>
      <c r="K439" s="5" t="s">
        <v>1679</v>
      </c>
      <c r="L439" s="5" t="s">
        <v>1680</v>
      </c>
      <c r="M439" s="5" t="s">
        <v>1681</v>
      </c>
      <c r="N439" s="5" t="s">
        <v>1682</v>
      </c>
      <c r="O439" s="5" t="s">
        <v>1680</v>
      </c>
      <c r="P439" s="6">
        <v>86495</v>
      </c>
      <c r="Q439" s="6">
        <v>86495</v>
      </c>
      <c r="R439" s="6">
        <v>0</v>
      </c>
      <c r="S439" s="6">
        <v>0</v>
      </c>
      <c r="T439" s="6">
        <v>0</v>
      </c>
    </row>
    <row r="440" spans="1:20">
      <c r="A440" s="5" t="s">
        <v>1672</v>
      </c>
      <c r="B440" s="5" t="s">
        <v>1673</v>
      </c>
      <c r="C440" s="5" t="s">
        <v>1715</v>
      </c>
      <c r="D440" s="5" t="s">
        <v>325</v>
      </c>
      <c r="E440" s="5" t="s">
        <v>1766</v>
      </c>
      <c r="F440" s="5" t="s">
        <v>1767</v>
      </c>
      <c r="G440" s="5" t="s">
        <v>1766</v>
      </c>
      <c r="H440" s="5" t="s">
        <v>1767</v>
      </c>
      <c r="I440" s="5" t="s">
        <v>1882</v>
      </c>
      <c r="J440" s="5" t="s">
        <v>1678</v>
      </c>
      <c r="K440" s="5" t="s">
        <v>1679</v>
      </c>
      <c r="L440" s="5" t="s">
        <v>1680</v>
      </c>
      <c r="M440" s="5" t="s">
        <v>1681</v>
      </c>
      <c r="N440" s="5" t="s">
        <v>1682</v>
      </c>
      <c r="O440" s="5" t="s">
        <v>1680</v>
      </c>
      <c r="P440" s="6">
        <v>86495</v>
      </c>
      <c r="Q440" s="6">
        <v>86495</v>
      </c>
      <c r="R440" s="6">
        <v>0</v>
      </c>
      <c r="S440" s="6">
        <v>0</v>
      </c>
      <c r="T440" s="6">
        <v>0</v>
      </c>
    </row>
    <row r="441" spans="1:20">
      <c r="A441" s="5" t="s">
        <v>1672</v>
      </c>
      <c r="B441" s="5" t="s">
        <v>1673</v>
      </c>
      <c r="C441" s="5" t="s">
        <v>1715</v>
      </c>
      <c r="D441" s="5" t="s">
        <v>325</v>
      </c>
      <c r="E441" s="5" t="s">
        <v>1768</v>
      </c>
      <c r="F441" s="5" t="s">
        <v>1769</v>
      </c>
      <c r="G441" s="5" t="s">
        <v>1770</v>
      </c>
      <c r="H441" s="5" t="s">
        <v>1771</v>
      </c>
      <c r="I441" s="5" t="s">
        <v>1882</v>
      </c>
      <c r="J441" s="5" t="s">
        <v>1678</v>
      </c>
      <c r="K441" s="5" t="s">
        <v>1679</v>
      </c>
      <c r="L441" s="5" t="s">
        <v>1680</v>
      </c>
      <c r="M441" s="5" t="s">
        <v>1681</v>
      </c>
      <c r="N441" s="5" t="s">
        <v>1682</v>
      </c>
      <c r="O441" s="5" t="s">
        <v>1680</v>
      </c>
      <c r="P441" s="6">
        <v>86495</v>
      </c>
      <c r="Q441" s="6">
        <v>86495</v>
      </c>
      <c r="R441" s="6">
        <v>0</v>
      </c>
      <c r="S441" s="6">
        <v>0</v>
      </c>
      <c r="T441" s="6">
        <v>0</v>
      </c>
    </row>
    <row r="442" spans="1:20">
      <c r="A442" s="5" t="s">
        <v>1672</v>
      </c>
      <c r="B442" s="5" t="s">
        <v>1673</v>
      </c>
      <c r="C442" s="5" t="s">
        <v>1715</v>
      </c>
      <c r="D442" s="5" t="s">
        <v>325</v>
      </c>
      <c r="E442" s="5" t="s">
        <v>1772</v>
      </c>
      <c r="F442" s="5" t="s">
        <v>1773</v>
      </c>
      <c r="G442" s="5" t="s">
        <v>1774</v>
      </c>
      <c r="H442" s="5" t="s">
        <v>1775</v>
      </c>
      <c r="I442" s="5" t="s">
        <v>1882</v>
      </c>
      <c r="J442" s="5" t="s">
        <v>1678</v>
      </c>
      <c r="K442" s="5" t="s">
        <v>1679</v>
      </c>
      <c r="L442" s="5" t="s">
        <v>1680</v>
      </c>
      <c r="M442" s="5" t="s">
        <v>1681</v>
      </c>
      <c r="N442" s="5" t="s">
        <v>1682</v>
      </c>
      <c r="O442" s="5" t="s">
        <v>1680</v>
      </c>
      <c r="P442" s="6">
        <v>86495</v>
      </c>
      <c r="Q442" s="6">
        <v>86495</v>
      </c>
      <c r="R442" s="6">
        <v>0</v>
      </c>
      <c r="S442" s="6">
        <v>0</v>
      </c>
      <c r="T442" s="6">
        <v>0</v>
      </c>
    </row>
    <row r="443" spans="1:20">
      <c r="A443" s="5" t="s">
        <v>1672</v>
      </c>
      <c r="B443" s="5" t="s">
        <v>1673</v>
      </c>
      <c r="C443" s="5" t="s">
        <v>1715</v>
      </c>
      <c r="D443" s="5" t="s">
        <v>325</v>
      </c>
      <c r="E443" s="5" t="s">
        <v>1776</v>
      </c>
      <c r="F443" s="5" t="s">
        <v>1777</v>
      </c>
      <c r="G443" s="5" t="s">
        <v>1778</v>
      </c>
      <c r="H443" s="5" t="s">
        <v>1779</v>
      </c>
      <c r="I443" s="5" t="s">
        <v>1882</v>
      </c>
      <c r="J443" s="5" t="s">
        <v>1678</v>
      </c>
      <c r="K443" s="5" t="s">
        <v>1679</v>
      </c>
      <c r="L443" s="5" t="s">
        <v>1680</v>
      </c>
      <c r="M443" s="5" t="s">
        <v>1681</v>
      </c>
      <c r="N443" s="5" t="s">
        <v>1682</v>
      </c>
      <c r="O443" s="5" t="s">
        <v>1680</v>
      </c>
      <c r="P443" s="6">
        <v>86495</v>
      </c>
      <c r="Q443" s="6">
        <v>86495</v>
      </c>
      <c r="R443" s="6">
        <v>0</v>
      </c>
      <c r="S443" s="6">
        <v>0</v>
      </c>
      <c r="T443" s="6">
        <v>0</v>
      </c>
    </row>
    <row r="444" spans="1:20">
      <c r="A444" s="5" t="s">
        <v>1672</v>
      </c>
      <c r="B444" s="5" t="s">
        <v>1673</v>
      </c>
      <c r="C444" s="5" t="s">
        <v>1715</v>
      </c>
      <c r="D444" s="5" t="s">
        <v>325</v>
      </c>
      <c r="E444" s="5" t="s">
        <v>1780</v>
      </c>
      <c r="F444" s="5" t="s">
        <v>1781</v>
      </c>
      <c r="G444" s="5" t="s">
        <v>1780</v>
      </c>
      <c r="H444" s="5" t="s">
        <v>1781</v>
      </c>
      <c r="I444" s="5" t="s">
        <v>1882</v>
      </c>
      <c r="J444" s="5" t="s">
        <v>1678</v>
      </c>
      <c r="K444" s="5" t="s">
        <v>1679</v>
      </c>
      <c r="L444" s="5" t="s">
        <v>1680</v>
      </c>
      <c r="M444" s="5" t="s">
        <v>1681</v>
      </c>
      <c r="N444" s="5" t="s">
        <v>1682</v>
      </c>
      <c r="O444" s="5" t="s">
        <v>1680</v>
      </c>
      <c r="P444" s="6">
        <v>86495</v>
      </c>
      <c r="Q444" s="6">
        <v>86495</v>
      </c>
      <c r="R444" s="6">
        <v>0</v>
      </c>
      <c r="S444" s="6">
        <v>0</v>
      </c>
      <c r="T444" s="6">
        <v>0</v>
      </c>
    </row>
    <row r="445" spans="1:20">
      <c r="A445" s="5" t="s">
        <v>1672</v>
      </c>
      <c r="B445" s="5" t="s">
        <v>1673</v>
      </c>
      <c r="C445" s="5" t="s">
        <v>1715</v>
      </c>
      <c r="D445" s="5" t="s">
        <v>325</v>
      </c>
      <c r="E445" s="5" t="s">
        <v>1782</v>
      </c>
      <c r="F445" s="5" t="s">
        <v>1783</v>
      </c>
      <c r="G445" s="5" t="s">
        <v>1782</v>
      </c>
      <c r="H445" s="5" t="s">
        <v>1783</v>
      </c>
      <c r="I445" s="5" t="s">
        <v>1882</v>
      </c>
      <c r="J445" s="5" t="s">
        <v>1678</v>
      </c>
      <c r="K445" s="5" t="s">
        <v>1679</v>
      </c>
      <c r="L445" s="5" t="s">
        <v>1680</v>
      </c>
      <c r="M445" s="5" t="s">
        <v>1681</v>
      </c>
      <c r="N445" s="5" t="s">
        <v>1682</v>
      </c>
      <c r="O445" s="5" t="s">
        <v>1680</v>
      </c>
      <c r="P445" s="6">
        <v>86495</v>
      </c>
      <c r="Q445" s="6">
        <v>86495</v>
      </c>
      <c r="R445" s="6">
        <v>0</v>
      </c>
      <c r="S445" s="6">
        <v>0</v>
      </c>
      <c r="T445" s="6">
        <v>0</v>
      </c>
    </row>
    <row r="446" spans="1:20">
      <c r="A446" s="5" t="s">
        <v>1672</v>
      </c>
      <c r="B446" s="5" t="s">
        <v>1673</v>
      </c>
      <c r="C446" s="5" t="s">
        <v>1715</v>
      </c>
      <c r="D446" s="5" t="s">
        <v>325</v>
      </c>
      <c r="E446" s="5" t="s">
        <v>1784</v>
      </c>
      <c r="F446" s="5" t="s">
        <v>1785</v>
      </c>
      <c r="G446" s="5" t="s">
        <v>1786</v>
      </c>
      <c r="H446" s="5" t="s">
        <v>1787</v>
      </c>
      <c r="I446" s="5" t="s">
        <v>1882</v>
      </c>
      <c r="J446" s="5" t="s">
        <v>1678</v>
      </c>
      <c r="K446" s="5" t="s">
        <v>1679</v>
      </c>
      <c r="L446" s="5" t="s">
        <v>1680</v>
      </c>
      <c r="M446" s="5" t="s">
        <v>1681</v>
      </c>
      <c r="N446" s="5" t="s">
        <v>1682</v>
      </c>
      <c r="O446" s="5" t="s">
        <v>1680</v>
      </c>
      <c r="P446" s="6">
        <v>86495</v>
      </c>
      <c r="Q446" s="6">
        <v>86495</v>
      </c>
      <c r="R446" s="6">
        <v>0</v>
      </c>
      <c r="S446" s="6">
        <v>0</v>
      </c>
      <c r="T446" s="6">
        <v>0</v>
      </c>
    </row>
    <row r="447" spans="1:20">
      <c r="A447" s="5" t="s">
        <v>1672</v>
      </c>
      <c r="B447" s="5" t="s">
        <v>1673</v>
      </c>
      <c r="C447" s="5" t="s">
        <v>1715</v>
      </c>
      <c r="D447" s="5" t="s">
        <v>325</v>
      </c>
      <c r="E447" s="5" t="s">
        <v>1788</v>
      </c>
      <c r="F447" s="5" t="s">
        <v>1789</v>
      </c>
      <c r="G447" s="5" t="s">
        <v>1790</v>
      </c>
      <c r="H447" s="5" t="s">
        <v>1791</v>
      </c>
      <c r="I447" s="5" t="s">
        <v>1882</v>
      </c>
      <c r="J447" s="5" t="s">
        <v>1678</v>
      </c>
      <c r="K447" s="5" t="s">
        <v>1679</v>
      </c>
      <c r="L447" s="5" t="s">
        <v>1680</v>
      </c>
      <c r="M447" s="5" t="s">
        <v>1681</v>
      </c>
      <c r="N447" s="5" t="s">
        <v>1682</v>
      </c>
      <c r="O447" s="5" t="s">
        <v>1680</v>
      </c>
      <c r="P447" s="6">
        <v>86495</v>
      </c>
      <c r="Q447" s="6">
        <v>86495</v>
      </c>
      <c r="R447" s="6">
        <v>0</v>
      </c>
      <c r="S447" s="6">
        <v>0</v>
      </c>
      <c r="T447" s="6">
        <v>0</v>
      </c>
    </row>
    <row r="448" spans="1:20">
      <c r="A448" s="5" t="s">
        <v>1672</v>
      </c>
      <c r="B448" s="5" t="s">
        <v>1673</v>
      </c>
      <c r="C448" s="5" t="s">
        <v>1715</v>
      </c>
      <c r="D448" s="5" t="s">
        <v>325</v>
      </c>
      <c r="E448" s="5" t="s">
        <v>1792</v>
      </c>
      <c r="F448" s="5" t="s">
        <v>1793</v>
      </c>
      <c r="G448" s="5" t="s">
        <v>1794</v>
      </c>
      <c r="H448" s="5" t="s">
        <v>1795</v>
      </c>
      <c r="I448" s="5" t="s">
        <v>1882</v>
      </c>
      <c r="J448" s="5" t="s">
        <v>1678</v>
      </c>
      <c r="K448" s="5" t="s">
        <v>1679</v>
      </c>
      <c r="L448" s="5" t="s">
        <v>1680</v>
      </c>
      <c r="M448" s="5" t="s">
        <v>1681</v>
      </c>
      <c r="N448" s="5" t="s">
        <v>1682</v>
      </c>
      <c r="O448" s="5" t="s">
        <v>1680</v>
      </c>
      <c r="P448" s="6">
        <v>86495</v>
      </c>
      <c r="Q448" s="6">
        <v>86495</v>
      </c>
      <c r="R448" s="6">
        <v>0</v>
      </c>
      <c r="S448" s="6">
        <v>0</v>
      </c>
      <c r="T448" s="6">
        <v>0</v>
      </c>
    </row>
    <row r="449" spans="1:20">
      <c r="A449" s="5" t="s">
        <v>1672</v>
      </c>
      <c r="B449" s="5" t="s">
        <v>1673</v>
      </c>
      <c r="C449" s="5" t="s">
        <v>1715</v>
      </c>
      <c r="D449" s="5" t="s">
        <v>325</v>
      </c>
      <c r="E449" s="5" t="s">
        <v>1796</v>
      </c>
      <c r="F449" s="5" t="s">
        <v>1797</v>
      </c>
      <c r="G449" s="5" t="s">
        <v>1796</v>
      </c>
      <c r="H449" s="5" t="s">
        <v>1797</v>
      </c>
      <c r="I449" s="5" t="s">
        <v>1882</v>
      </c>
      <c r="J449" s="5" t="s">
        <v>1678</v>
      </c>
      <c r="K449" s="5" t="s">
        <v>1679</v>
      </c>
      <c r="L449" s="5" t="s">
        <v>1680</v>
      </c>
      <c r="M449" s="5" t="s">
        <v>1681</v>
      </c>
      <c r="N449" s="5" t="s">
        <v>1682</v>
      </c>
      <c r="O449" s="5" t="s">
        <v>1680</v>
      </c>
      <c r="P449" s="6">
        <v>86495</v>
      </c>
      <c r="Q449" s="6">
        <v>86495</v>
      </c>
      <c r="R449" s="6">
        <v>0</v>
      </c>
      <c r="S449" s="6">
        <v>0</v>
      </c>
      <c r="T449" s="6">
        <v>0</v>
      </c>
    </row>
    <row r="450" spans="1:20">
      <c r="A450" s="5" t="s">
        <v>1672</v>
      </c>
      <c r="B450" s="5" t="s">
        <v>1673</v>
      </c>
      <c r="C450" s="5" t="s">
        <v>1715</v>
      </c>
      <c r="D450" s="5" t="s">
        <v>325</v>
      </c>
      <c r="E450" s="5" t="s">
        <v>1798</v>
      </c>
      <c r="F450" s="5" t="s">
        <v>1799</v>
      </c>
      <c r="G450" s="5" t="s">
        <v>1798</v>
      </c>
      <c r="H450" s="5" t="s">
        <v>1799</v>
      </c>
      <c r="I450" s="5" t="s">
        <v>1882</v>
      </c>
      <c r="J450" s="5" t="s">
        <v>1678</v>
      </c>
      <c r="K450" s="5" t="s">
        <v>1679</v>
      </c>
      <c r="L450" s="5" t="s">
        <v>1680</v>
      </c>
      <c r="M450" s="5" t="s">
        <v>1681</v>
      </c>
      <c r="N450" s="5" t="s">
        <v>1682</v>
      </c>
      <c r="O450" s="5" t="s">
        <v>1680</v>
      </c>
      <c r="P450" s="6">
        <v>86495</v>
      </c>
      <c r="Q450" s="6">
        <v>86495</v>
      </c>
      <c r="R450" s="6">
        <v>0</v>
      </c>
      <c r="S450" s="6">
        <v>0</v>
      </c>
      <c r="T450" s="6">
        <v>0</v>
      </c>
    </row>
    <row r="451" spans="1:20">
      <c r="A451" s="5" t="s">
        <v>1672</v>
      </c>
      <c r="B451" s="5" t="s">
        <v>1673</v>
      </c>
      <c r="C451" s="5" t="s">
        <v>1715</v>
      </c>
      <c r="D451" s="5" t="s">
        <v>325</v>
      </c>
      <c r="E451" s="5" t="s">
        <v>1800</v>
      </c>
      <c r="F451" s="5" t="s">
        <v>1801</v>
      </c>
      <c r="G451" s="5" t="s">
        <v>1800</v>
      </c>
      <c r="H451" s="5" t="s">
        <v>1801</v>
      </c>
      <c r="I451" s="5" t="s">
        <v>1882</v>
      </c>
      <c r="J451" s="5" t="s">
        <v>1678</v>
      </c>
      <c r="K451" s="5" t="s">
        <v>1679</v>
      </c>
      <c r="L451" s="5" t="s">
        <v>1680</v>
      </c>
      <c r="M451" s="5" t="s">
        <v>1681</v>
      </c>
      <c r="N451" s="5" t="s">
        <v>1682</v>
      </c>
      <c r="O451" s="5" t="s">
        <v>1680</v>
      </c>
      <c r="P451" s="6">
        <v>86495</v>
      </c>
      <c r="Q451" s="6">
        <v>86495</v>
      </c>
      <c r="R451" s="6">
        <v>0</v>
      </c>
      <c r="S451" s="6">
        <v>0</v>
      </c>
      <c r="T451" s="6">
        <v>0</v>
      </c>
    </row>
    <row r="452" spans="1:20">
      <c r="A452" s="5" t="s">
        <v>1672</v>
      </c>
      <c r="B452" s="5" t="s">
        <v>1673</v>
      </c>
      <c r="C452" s="5" t="s">
        <v>1715</v>
      </c>
      <c r="D452" s="5" t="s">
        <v>325</v>
      </c>
      <c r="E452" s="5" t="s">
        <v>1802</v>
      </c>
      <c r="F452" s="5" t="s">
        <v>1803</v>
      </c>
      <c r="G452" s="5" t="s">
        <v>1804</v>
      </c>
      <c r="H452" s="5" t="s">
        <v>1805</v>
      </c>
      <c r="I452" s="5" t="s">
        <v>1882</v>
      </c>
      <c r="J452" s="5" t="s">
        <v>1678</v>
      </c>
      <c r="K452" s="5" t="s">
        <v>1679</v>
      </c>
      <c r="L452" s="5" t="s">
        <v>1680</v>
      </c>
      <c r="M452" s="5" t="s">
        <v>1681</v>
      </c>
      <c r="N452" s="5" t="s">
        <v>1682</v>
      </c>
      <c r="O452" s="5" t="s">
        <v>1680</v>
      </c>
      <c r="P452" s="6">
        <v>86495</v>
      </c>
      <c r="Q452" s="6">
        <v>86495</v>
      </c>
      <c r="R452" s="6">
        <v>0</v>
      </c>
      <c r="S452" s="6">
        <v>0</v>
      </c>
      <c r="T452" s="6">
        <v>0</v>
      </c>
    </row>
    <row r="453" spans="1:20">
      <c r="A453" s="5" t="s">
        <v>1672</v>
      </c>
      <c r="B453" s="5" t="s">
        <v>1673</v>
      </c>
      <c r="C453" s="5" t="s">
        <v>1715</v>
      </c>
      <c r="D453" s="5" t="s">
        <v>325</v>
      </c>
      <c r="E453" s="5" t="s">
        <v>1806</v>
      </c>
      <c r="F453" s="5" t="s">
        <v>1807</v>
      </c>
      <c r="G453" s="5" t="s">
        <v>1808</v>
      </c>
      <c r="H453" s="5" t="s">
        <v>1809</v>
      </c>
      <c r="I453" s="5" t="s">
        <v>1882</v>
      </c>
      <c r="J453" s="5" t="s">
        <v>1678</v>
      </c>
      <c r="K453" s="5" t="s">
        <v>1679</v>
      </c>
      <c r="L453" s="5" t="s">
        <v>1680</v>
      </c>
      <c r="M453" s="5" t="s">
        <v>1681</v>
      </c>
      <c r="N453" s="5" t="s">
        <v>1682</v>
      </c>
      <c r="O453" s="5" t="s">
        <v>1680</v>
      </c>
      <c r="P453" s="6">
        <v>86495</v>
      </c>
      <c r="Q453" s="6">
        <v>86495</v>
      </c>
      <c r="R453" s="6">
        <v>0</v>
      </c>
      <c r="S453" s="6">
        <v>0</v>
      </c>
      <c r="T453" s="6">
        <v>0</v>
      </c>
    </row>
    <row r="454" spans="1:20">
      <c r="A454" s="5" t="s">
        <v>1672</v>
      </c>
      <c r="B454" s="5" t="s">
        <v>1673</v>
      </c>
      <c r="C454" s="5" t="s">
        <v>1715</v>
      </c>
      <c r="D454" s="5" t="s">
        <v>325</v>
      </c>
      <c r="E454" s="5" t="s">
        <v>1810</v>
      </c>
      <c r="F454" s="5" t="s">
        <v>1811</v>
      </c>
      <c r="G454" s="5" t="s">
        <v>1812</v>
      </c>
      <c r="H454" s="5" t="s">
        <v>1813</v>
      </c>
      <c r="I454" s="5" t="s">
        <v>1882</v>
      </c>
      <c r="J454" s="5" t="s">
        <v>1678</v>
      </c>
      <c r="K454" s="5" t="s">
        <v>1679</v>
      </c>
      <c r="L454" s="5" t="s">
        <v>1680</v>
      </c>
      <c r="M454" s="5" t="s">
        <v>1681</v>
      </c>
      <c r="N454" s="5" t="s">
        <v>1682</v>
      </c>
      <c r="O454" s="5" t="s">
        <v>1680</v>
      </c>
      <c r="P454" s="6">
        <v>86495</v>
      </c>
      <c r="Q454" s="6">
        <v>86495</v>
      </c>
      <c r="R454" s="6">
        <v>0</v>
      </c>
      <c r="S454" s="6">
        <v>0</v>
      </c>
      <c r="T454" s="6">
        <v>0</v>
      </c>
    </row>
    <row r="455" spans="1:20">
      <c r="A455" s="5" t="s">
        <v>1672</v>
      </c>
      <c r="B455" s="5" t="s">
        <v>1673</v>
      </c>
      <c r="C455" s="5" t="s">
        <v>1715</v>
      </c>
      <c r="D455" s="5" t="s">
        <v>325</v>
      </c>
      <c r="E455" s="5" t="s">
        <v>1814</v>
      </c>
      <c r="F455" s="5" t="s">
        <v>1815</v>
      </c>
      <c r="G455" s="5" t="s">
        <v>1814</v>
      </c>
      <c r="H455" s="5" t="s">
        <v>1815</v>
      </c>
      <c r="I455" s="5" t="s">
        <v>1882</v>
      </c>
      <c r="J455" s="5" t="s">
        <v>1678</v>
      </c>
      <c r="K455" s="5" t="s">
        <v>1679</v>
      </c>
      <c r="L455" s="5" t="s">
        <v>1680</v>
      </c>
      <c r="M455" s="5" t="s">
        <v>1681</v>
      </c>
      <c r="N455" s="5" t="s">
        <v>1682</v>
      </c>
      <c r="O455" s="5" t="s">
        <v>1680</v>
      </c>
      <c r="P455" s="6">
        <v>86495</v>
      </c>
      <c r="Q455" s="6">
        <v>86495</v>
      </c>
      <c r="R455" s="6">
        <v>0</v>
      </c>
      <c r="S455" s="6">
        <v>0</v>
      </c>
      <c r="T455" s="6">
        <v>0</v>
      </c>
    </row>
    <row r="456" spans="1:20">
      <c r="A456" s="5" t="s">
        <v>1672</v>
      </c>
      <c r="B456" s="5" t="s">
        <v>1673</v>
      </c>
      <c r="C456" s="5" t="s">
        <v>1715</v>
      </c>
      <c r="D456" s="5" t="s">
        <v>325</v>
      </c>
      <c r="E456" s="5" t="s">
        <v>1816</v>
      </c>
      <c r="F456" s="5" t="s">
        <v>1817</v>
      </c>
      <c r="G456" s="5" t="s">
        <v>1818</v>
      </c>
      <c r="H456" s="5" t="s">
        <v>1819</v>
      </c>
      <c r="I456" s="5" t="s">
        <v>1882</v>
      </c>
      <c r="J456" s="5" t="s">
        <v>1678</v>
      </c>
      <c r="K456" s="5" t="s">
        <v>1679</v>
      </c>
      <c r="L456" s="5" t="s">
        <v>1680</v>
      </c>
      <c r="M456" s="5" t="s">
        <v>1681</v>
      </c>
      <c r="N456" s="5" t="s">
        <v>1682</v>
      </c>
      <c r="O456" s="5" t="s">
        <v>1680</v>
      </c>
      <c r="P456" s="6">
        <v>86495</v>
      </c>
      <c r="Q456" s="6">
        <v>86495</v>
      </c>
      <c r="R456" s="6">
        <v>0</v>
      </c>
      <c r="S456" s="6">
        <v>0</v>
      </c>
      <c r="T456" s="6">
        <v>0</v>
      </c>
    </row>
    <row r="457" spans="1:20">
      <c r="A457" s="5" t="s">
        <v>1672</v>
      </c>
      <c r="B457" s="5" t="s">
        <v>1673</v>
      </c>
      <c r="C457" s="5" t="s">
        <v>1715</v>
      </c>
      <c r="D457" s="5" t="s">
        <v>325</v>
      </c>
      <c r="E457" s="5" t="s">
        <v>1820</v>
      </c>
      <c r="F457" s="5" t="s">
        <v>1821</v>
      </c>
      <c r="G457" s="5" t="s">
        <v>1822</v>
      </c>
      <c r="H457" s="5" t="s">
        <v>1823</v>
      </c>
      <c r="I457" s="5" t="s">
        <v>1882</v>
      </c>
      <c r="J457" s="5" t="s">
        <v>1678</v>
      </c>
      <c r="K457" s="5" t="s">
        <v>1679</v>
      </c>
      <c r="L457" s="5" t="s">
        <v>1680</v>
      </c>
      <c r="M457" s="5" t="s">
        <v>1681</v>
      </c>
      <c r="N457" s="5" t="s">
        <v>1682</v>
      </c>
      <c r="O457" s="5" t="s">
        <v>1680</v>
      </c>
      <c r="P457" s="6">
        <v>86495</v>
      </c>
      <c r="Q457" s="6">
        <v>86495</v>
      </c>
      <c r="R457" s="6">
        <v>0</v>
      </c>
      <c r="S457" s="6">
        <v>0</v>
      </c>
      <c r="T457" s="6">
        <v>0</v>
      </c>
    </row>
    <row r="458" spans="1:20">
      <c r="A458" s="5" t="s">
        <v>1672</v>
      </c>
      <c r="B458" s="5" t="s">
        <v>1673</v>
      </c>
      <c r="C458" s="5" t="s">
        <v>1715</v>
      </c>
      <c r="D458" s="5" t="s">
        <v>325</v>
      </c>
      <c r="E458" s="5" t="s">
        <v>1824</v>
      </c>
      <c r="F458" s="5" t="s">
        <v>1825</v>
      </c>
      <c r="G458" s="5" t="s">
        <v>1826</v>
      </c>
      <c r="H458" s="5" t="s">
        <v>1827</v>
      </c>
      <c r="I458" s="5" t="s">
        <v>1882</v>
      </c>
      <c r="J458" s="5" t="s">
        <v>1678</v>
      </c>
      <c r="K458" s="5" t="s">
        <v>1679</v>
      </c>
      <c r="L458" s="5" t="s">
        <v>1680</v>
      </c>
      <c r="M458" s="5" t="s">
        <v>1681</v>
      </c>
      <c r="N458" s="5" t="s">
        <v>1682</v>
      </c>
      <c r="O458" s="5" t="s">
        <v>1680</v>
      </c>
      <c r="P458" s="6">
        <v>86495</v>
      </c>
      <c r="Q458" s="6">
        <v>86495</v>
      </c>
      <c r="R458" s="6">
        <v>0</v>
      </c>
      <c r="S458" s="6">
        <v>0</v>
      </c>
      <c r="T458" s="6">
        <v>0</v>
      </c>
    </row>
    <row r="459" spans="1:20">
      <c r="A459" s="5" t="s">
        <v>1672</v>
      </c>
      <c r="B459" s="5" t="s">
        <v>1673</v>
      </c>
      <c r="C459" s="5" t="s">
        <v>1715</v>
      </c>
      <c r="D459" s="5" t="s">
        <v>325</v>
      </c>
      <c r="E459" s="5" t="s">
        <v>1828</v>
      </c>
      <c r="F459" s="5" t="s">
        <v>1829</v>
      </c>
      <c r="G459" s="5" t="s">
        <v>1828</v>
      </c>
      <c r="H459" s="5" t="s">
        <v>1829</v>
      </c>
      <c r="I459" s="5" t="s">
        <v>1882</v>
      </c>
      <c r="J459" s="5" t="s">
        <v>1678</v>
      </c>
      <c r="K459" s="5" t="s">
        <v>1679</v>
      </c>
      <c r="L459" s="5" t="s">
        <v>1680</v>
      </c>
      <c r="M459" s="5" t="s">
        <v>1681</v>
      </c>
      <c r="N459" s="5" t="s">
        <v>1682</v>
      </c>
      <c r="O459" s="5" t="s">
        <v>1680</v>
      </c>
      <c r="P459" s="6">
        <v>86495</v>
      </c>
      <c r="Q459" s="6">
        <v>86495</v>
      </c>
      <c r="R459" s="6">
        <v>0</v>
      </c>
      <c r="S459" s="6">
        <v>0</v>
      </c>
      <c r="T459" s="6">
        <v>0</v>
      </c>
    </row>
    <row r="460" spans="1:20">
      <c r="A460" s="5" t="s">
        <v>1672</v>
      </c>
      <c r="B460" s="5" t="s">
        <v>1673</v>
      </c>
      <c r="C460" s="5" t="s">
        <v>1715</v>
      </c>
      <c r="D460" s="5" t="s">
        <v>325</v>
      </c>
      <c r="E460" s="5" t="s">
        <v>1830</v>
      </c>
      <c r="F460" s="5" t="s">
        <v>1831</v>
      </c>
      <c r="G460" s="5" t="s">
        <v>1830</v>
      </c>
      <c r="H460" s="5" t="s">
        <v>1831</v>
      </c>
      <c r="I460" s="5" t="s">
        <v>1882</v>
      </c>
      <c r="J460" s="5" t="s">
        <v>1678</v>
      </c>
      <c r="K460" s="5" t="s">
        <v>1679</v>
      </c>
      <c r="L460" s="5" t="s">
        <v>1680</v>
      </c>
      <c r="M460" s="5" t="s">
        <v>1681</v>
      </c>
      <c r="N460" s="5" t="s">
        <v>1682</v>
      </c>
      <c r="O460" s="5" t="s">
        <v>1680</v>
      </c>
      <c r="P460" s="6">
        <v>86495</v>
      </c>
      <c r="Q460" s="6">
        <v>86495</v>
      </c>
      <c r="R460" s="6">
        <v>0</v>
      </c>
      <c r="S460" s="6">
        <v>0</v>
      </c>
      <c r="T460" s="6">
        <v>0</v>
      </c>
    </row>
    <row r="461" spans="1:20">
      <c r="A461" s="5" t="s">
        <v>1672</v>
      </c>
      <c r="B461" s="5" t="s">
        <v>1673</v>
      </c>
      <c r="C461" s="5" t="s">
        <v>1715</v>
      </c>
      <c r="D461" s="5" t="s">
        <v>325</v>
      </c>
      <c r="E461" s="5" t="s">
        <v>1832</v>
      </c>
      <c r="F461" s="5" t="s">
        <v>1833</v>
      </c>
      <c r="G461" s="5" t="s">
        <v>1834</v>
      </c>
      <c r="H461" s="5" t="s">
        <v>1835</v>
      </c>
      <c r="I461" s="5" t="s">
        <v>1882</v>
      </c>
      <c r="J461" s="5" t="s">
        <v>1678</v>
      </c>
      <c r="K461" s="5" t="s">
        <v>1679</v>
      </c>
      <c r="L461" s="5" t="s">
        <v>1680</v>
      </c>
      <c r="M461" s="5" t="s">
        <v>1681</v>
      </c>
      <c r="N461" s="5" t="s">
        <v>1682</v>
      </c>
      <c r="O461" s="5" t="s">
        <v>1680</v>
      </c>
      <c r="P461" s="6">
        <v>86495</v>
      </c>
      <c r="Q461" s="6">
        <v>86495</v>
      </c>
      <c r="R461" s="6">
        <v>0</v>
      </c>
      <c r="S461" s="6">
        <v>0</v>
      </c>
      <c r="T461" s="6">
        <v>0</v>
      </c>
    </row>
    <row r="462" spans="1:20">
      <c r="A462" s="5" t="s">
        <v>1672</v>
      </c>
      <c r="B462" s="5" t="s">
        <v>1673</v>
      </c>
      <c r="C462" s="5" t="s">
        <v>1715</v>
      </c>
      <c r="D462" s="5" t="s">
        <v>325</v>
      </c>
      <c r="E462" s="5" t="s">
        <v>1836</v>
      </c>
      <c r="F462" s="5" t="s">
        <v>1837</v>
      </c>
      <c r="G462" s="5" t="s">
        <v>1836</v>
      </c>
      <c r="H462" s="5" t="s">
        <v>1837</v>
      </c>
      <c r="I462" s="5" t="s">
        <v>1882</v>
      </c>
      <c r="J462" s="5" t="s">
        <v>1678</v>
      </c>
      <c r="K462" s="5" t="s">
        <v>1679</v>
      </c>
      <c r="L462" s="5" t="s">
        <v>1680</v>
      </c>
      <c r="M462" s="5" t="s">
        <v>1681</v>
      </c>
      <c r="N462" s="5" t="s">
        <v>1682</v>
      </c>
      <c r="O462" s="5" t="s">
        <v>1680</v>
      </c>
      <c r="P462" s="6">
        <v>86495</v>
      </c>
      <c r="Q462" s="6">
        <v>86495</v>
      </c>
      <c r="R462" s="6">
        <v>0</v>
      </c>
      <c r="S462" s="6">
        <v>0</v>
      </c>
      <c r="T462" s="6">
        <v>0</v>
      </c>
    </row>
    <row r="463" spans="1:20">
      <c r="A463" s="5" t="s">
        <v>1672</v>
      </c>
      <c r="B463" s="5" t="s">
        <v>1673</v>
      </c>
      <c r="C463" s="5" t="s">
        <v>1715</v>
      </c>
      <c r="D463" s="5" t="s">
        <v>325</v>
      </c>
      <c r="E463" s="5" t="s">
        <v>1838</v>
      </c>
      <c r="F463" s="5" t="s">
        <v>1839</v>
      </c>
      <c r="G463" s="5" t="s">
        <v>1840</v>
      </c>
      <c r="H463" s="5" t="s">
        <v>1841</v>
      </c>
      <c r="I463" s="5" t="s">
        <v>1882</v>
      </c>
      <c r="J463" s="5" t="s">
        <v>1678</v>
      </c>
      <c r="K463" s="5" t="s">
        <v>1679</v>
      </c>
      <c r="L463" s="5" t="s">
        <v>1680</v>
      </c>
      <c r="M463" s="5" t="s">
        <v>1681</v>
      </c>
      <c r="N463" s="5" t="s">
        <v>1682</v>
      </c>
      <c r="O463" s="5" t="s">
        <v>1680</v>
      </c>
      <c r="P463" s="6">
        <v>86495</v>
      </c>
      <c r="Q463" s="6">
        <v>86495</v>
      </c>
      <c r="R463" s="6">
        <v>0</v>
      </c>
      <c r="S463" s="6">
        <v>0</v>
      </c>
      <c r="T463" s="6">
        <v>0</v>
      </c>
    </row>
    <row r="464" spans="1:20">
      <c r="A464" s="5" t="s">
        <v>1672</v>
      </c>
      <c r="B464" s="5" t="s">
        <v>1673</v>
      </c>
      <c r="C464" s="5" t="s">
        <v>1883</v>
      </c>
      <c r="D464" s="5" t="s">
        <v>1884</v>
      </c>
      <c r="E464" s="5" t="s">
        <v>1885</v>
      </c>
      <c r="F464" s="5" t="s">
        <v>1884</v>
      </c>
      <c r="G464" s="5" t="s">
        <v>1885</v>
      </c>
      <c r="H464" s="5" t="s">
        <v>1884</v>
      </c>
      <c r="I464" s="5" t="s">
        <v>1882</v>
      </c>
      <c r="J464" s="5" t="s">
        <v>1678</v>
      </c>
      <c r="K464" s="5" t="s">
        <v>1679</v>
      </c>
      <c r="L464" s="5" t="s">
        <v>1680</v>
      </c>
      <c r="M464" s="5" t="s">
        <v>1681</v>
      </c>
      <c r="N464" s="5" t="s">
        <v>1682</v>
      </c>
      <c r="O464" s="5" t="s">
        <v>1680</v>
      </c>
      <c r="P464" s="6">
        <v>11846</v>
      </c>
      <c r="Q464" s="6">
        <v>11846</v>
      </c>
      <c r="R464" s="6">
        <v>0</v>
      </c>
      <c r="S464" s="6">
        <v>0</v>
      </c>
      <c r="T464" s="6">
        <v>0</v>
      </c>
    </row>
    <row r="465" spans="1:20">
      <c r="A465" s="5" t="s">
        <v>1672</v>
      </c>
      <c r="B465" s="5" t="s">
        <v>1673</v>
      </c>
      <c r="C465" s="5" t="s">
        <v>1674</v>
      </c>
      <c r="D465" s="5" t="s">
        <v>2</v>
      </c>
      <c r="E465" s="5" t="s">
        <v>1675</v>
      </c>
      <c r="F465" s="5" t="s">
        <v>1676</v>
      </c>
      <c r="G465" s="5" t="s">
        <v>1675</v>
      </c>
      <c r="H465" s="5" t="s">
        <v>1676</v>
      </c>
      <c r="I465" s="5" t="s">
        <v>1886</v>
      </c>
      <c r="J465" s="5" t="s">
        <v>1678</v>
      </c>
      <c r="K465" s="5" t="s">
        <v>1872</v>
      </c>
      <c r="L465" s="5" t="s">
        <v>1680</v>
      </c>
      <c r="M465" s="5" t="s">
        <v>1681</v>
      </c>
      <c r="N465" s="5" t="s">
        <v>1682</v>
      </c>
      <c r="O465" s="5" t="s">
        <v>1680</v>
      </c>
      <c r="P465" s="6">
        <v>1393</v>
      </c>
      <c r="Q465" s="6">
        <v>4393</v>
      </c>
      <c r="R465" s="6">
        <v>0</v>
      </c>
      <c r="S465" s="6">
        <v>3000</v>
      </c>
      <c r="T465" s="6">
        <v>0</v>
      </c>
    </row>
    <row r="466" spans="1:20">
      <c r="A466" s="5" t="s">
        <v>1672</v>
      </c>
      <c r="B466" s="5" t="s">
        <v>1673</v>
      </c>
      <c r="C466" s="5" t="s">
        <v>1674</v>
      </c>
      <c r="D466" s="5" t="s">
        <v>2</v>
      </c>
      <c r="E466" s="5" t="s">
        <v>1683</v>
      </c>
      <c r="F466" s="5" t="s">
        <v>1684</v>
      </c>
      <c r="G466" s="5" t="s">
        <v>1683</v>
      </c>
      <c r="H466" s="5" t="s">
        <v>1684</v>
      </c>
      <c r="I466" s="5" t="s">
        <v>1886</v>
      </c>
      <c r="J466" s="5" t="s">
        <v>1678</v>
      </c>
      <c r="K466" s="5" t="s">
        <v>1872</v>
      </c>
      <c r="L466" s="5" t="s">
        <v>1680</v>
      </c>
      <c r="M466" s="5" t="s">
        <v>1681</v>
      </c>
      <c r="N466" s="5" t="s">
        <v>1682</v>
      </c>
      <c r="O466" s="5" t="s">
        <v>1680</v>
      </c>
      <c r="P466" s="6">
        <v>1393</v>
      </c>
      <c r="Q466" s="6">
        <v>4393</v>
      </c>
      <c r="R466" s="6">
        <v>0</v>
      </c>
      <c r="S466" s="6">
        <v>3000</v>
      </c>
      <c r="T466" s="6">
        <v>0</v>
      </c>
    </row>
    <row r="467" spans="1:20">
      <c r="A467" s="5" t="s">
        <v>1672</v>
      </c>
      <c r="B467" s="5" t="s">
        <v>1673</v>
      </c>
      <c r="C467" s="5" t="s">
        <v>1674</v>
      </c>
      <c r="D467" s="5" t="s">
        <v>2</v>
      </c>
      <c r="E467" s="5" t="s">
        <v>1685</v>
      </c>
      <c r="F467" s="5" t="s">
        <v>1686</v>
      </c>
      <c r="G467" s="5" t="s">
        <v>1685</v>
      </c>
      <c r="H467" s="5" t="s">
        <v>1686</v>
      </c>
      <c r="I467" s="5" t="s">
        <v>1886</v>
      </c>
      <c r="J467" s="5" t="s">
        <v>1678</v>
      </c>
      <c r="K467" s="5" t="s">
        <v>1872</v>
      </c>
      <c r="L467" s="5" t="s">
        <v>1680</v>
      </c>
      <c r="M467" s="5" t="s">
        <v>1681</v>
      </c>
      <c r="N467" s="5" t="s">
        <v>1682</v>
      </c>
      <c r="O467" s="5" t="s">
        <v>1680</v>
      </c>
      <c r="P467" s="6">
        <v>1393</v>
      </c>
      <c r="Q467" s="6">
        <v>4393</v>
      </c>
      <c r="R467" s="6">
        <v>0</v>
      </c>
      <c r="S467" s="6">
        <v>3000</v>
      </c>
      <c r="T467" s="6">
        <v>0</v>
      </c>
    </row>
    <row r="468" spans="1:20">
      <c r="A468" s="5" t="s">
        <v>1672</v>
      </c>
      <c r="B468" s="5" t="s">
        <v>1673</v>
      </c>
      <c r="C468" s="5" t="s">
        <v>1674</v>
      </c>
      <c r="D468" s="5" t="s">
        <v>2</v>
      </c>
      <c r="E468" s="5" t="s">
        <v>1687</v>
      </c>
      <c r="F468" s="5" t="s">
        <v>1688</v>
      </c>
      <c r="G468" s="5" t="s">
        <v>1687</v>
      </c>
      <c r="H468" s="5" t="s">
        <v>1688</v>
      </c>
      <c r="I468" s="5" t="s">
        <v>1886</v>
      </c>
      <c r="J468" s="5" t="s">
        <v>1678</v>
      </c>
      <c r="K468" s="5" t="s">
        <v>1872</v>
      </c>
      <c r="L468" s="5" t="s">
        <v>1680</v>
      </c>
      <c r="M468" s="5" t="s">
        <v>1681</v>
      </c>
      <c r="N468" s="5" t="s">
        <v>1682</v>
      </c>
      <c r="O468" s="5" t="s">
        <v>1680</v>
      </c>
      <c r="P468" s="6">
        <v>1393</v>
      </c>
      <c r="Q468" s="6">
        <v>4393</v>
      </c>
      <c r="R468" s="6">
        <v>0</v>
      </c>
      <c r="S468" s="6">
        <v>3000</v>
      </c>
      <c r="T468" s="6">
        <v>0</v>
      </c>
    </row>
    <row r="469" spans="1:20">
      <c r="A469" s="5" t="s">
        <v>1672</v>
      </c>
      <c r="B469" s="5" t="s">
        <v>1673</v>
      </c>
      <c r="C469" s="5" t="s">
        <v>1674</v>
      </c>
      <c r="D469" s="5" t="s">
        <v>2</v>
      </c>
      <c r="E469" s="5" t="s">
        <v>1689</v>
      </c>
      <c r="F469" s="5" t="s">
        <v>1690</v>
      </c>
      <c r="G469" s="5" t="s">
        <v>1689</v>
      </c>
      <c r="H469" s="5" t="s">
        <v>1690</v>
      </c>
      <c r="I469" s="5" t="s">
        <v>1886</v>
      </c>
      <c r="J469" s="5" t="s">
        <v>1678</v>
      </c>
      <c r="K469" s="5" t="s">
        <v>1872</v>
      </c>
      <c r="L469" s="5" t="s">
        <v>1680</v>
      </c>
      <c r="M469" s="5" t="s">
        <v>1681</v>
      </c>
      <c r="N469" s="5" t="s">
        <v>1682</v>
      </c>
      <c r="O469" s="5" t="s">
        <v>1680</v>
      </c>
      <c r="P469" s="6">
        <v>1393</v>
      </c>
      <c r="Q469" s="6">
        <v>4393</v>
      </c>
      <c r="R469" s="6">
        <v>0</v>
      </c>
      <c r="S469" s="6">
        <v>3000</v>
      </c>
      <c r="T469" s="6">
        <v>0</v>
      </c>
    </row>
    <row r="470" spans="1:20">
      <c r="A470" s="5" t="s">
        <v>1672</v>
      </c>
      <c r="B470" s="5" t="s">
        <v>1673</v>
      </c>
      <c r="C470" s="5" t="s">
        <v>1674</v>
      </c>
      <c r="D470" s="5" t="s">
        <v>2</v>
      </c>
      <c r="E470" s="5" t="s">
        <v>1691</v>
      </c>
      <c r="F470" s="5" t="s">
        <v>1692</v>
      </c>
      <c r="G470" s="5" t="s">
        <v>1693</v>
      </c>
      <c r="H470" s="5" t="s">
        <v>1694</v>
      </c>
      <c r="I470" s="5" t="s">
        <v>1886</v>
      </c>
      <c r="J470" s="5" t="s">
        <v>1678</v>
      </c>
      <c r="K470" s="5" t="s">
        <v>1872</v>
      </c>
      <c r="L470" s="5" t="s">
        <v>1680</v>
      </c>
      <c r="M470" s="5" t="s">
        <v>1681</v>
      </c>
      <c r="N470" s="5" t="s">
        <v>1682</v>
      </c>
      <c r="O470" s="5" t="s">
        <v>1680</v>
      </c>
      <c r="P470" s="6">
        <v>1393</v>
      </c>
      <c r="Q470" s="6">
        <v>4393</v>
      </c>
      <c r="R470" s="6">
        <v>0</v>
      </c>
      <c r="S470" s="6">
        <v>3000</v>
      </c>
      <c r="T470" s="6">
        <v>0</v>
      </c>
    </row>
    <row r="471" spans="1:20">
      <c r="A471" s="5" t="s">
        <v>1672</v>
      </c>
      <c r="B471" s="5" t="s">
        <v>1673</v>
      </c>
      <c r="C471" s="5" t="s">
        <v>1674</v>
      </c>
      <c r="D471" s="5" t="s">
        <v>2</v>
      </c>
      <c r="E471" s="5" t="s">
        <v>1695</v>
      </c>
      <c r="F471" s="5" t="s">
        <v>1696</v>
      </c>
      <c r="G471" s="5" t="s">
        <v>1697</v>
      </c>
      <c r="H471" s="5" t="s">
        <v>1698</v>
      </c>
      <c r="I471" s="5" t="s">
        <v>1886</v>
      </c>
      <c r="J471" s="5" t="s">
        <v>1678</v>
      </c>
      <c r="K471" s="5" t="s">
        <v>1872</v>
      </c>
      <c r="L471" s="5" t="s">
        <v>1680</v>
      </c>
      <c r="M471" s="5" t="s">
        <v>1681</v>
      </c>
      <c r="N471" s="5" t="s">
        <v>1682</v>
      </c>
      <c r="O471" s="5" t="s">
        <v>1680</v>
      </c>
      <c r="P471" s="6">
        <v>1393</v>
      </c>
      <c r="Q471" s="6">
        <v>4393</v>
      </c>
      <c r="R471" s="6">
        <v>0</v>
      </c>
      <c r="S471" s="6">
        <v>3000</v>
      </c>
      <c r="T471" s="6">
        <v>0</v>
      </c>
    </row>
    <row r="472" spans="1:20">
      <c r="A472" s="5" t="s">
        <v>1672</v>
      </c>
      <c r="B472" s="5" t="s">
        <v>1673</v>
      </c>
      <c r="C472" s="5" t="s">
        <v>1674</v>
      </c>
      <c r="D472" s="5" t="s">
        <v>2</v>
      </c>
      <c r="E472" s="5" t="s">
        <v>1699</v>
      </c>
      <c r="F472" s="5" t="s">
        <v>1700</v>
      </c>
      <c r="G472" s="5" t="s">
        <v>1699</v>
      </c>
      <c r="H472" s="5" t="s">
        <v>1700</v>
      </c>
      <c r="I472" s="5" t="s">
        <v>1886</v>
      </c>
      <c r="J472" s="5" t="s">
        <v>1678</v>
      </c>
      <c r="K472" s="5" t="s">
        <v>1872</v>
      </c>
      <c r="L472" s="5" t="s">
        <v>1680</v>
      </c>
      <c r="M472" s="5" t="s">
        <v>1681</v>
      </c>
      <c r="N472" s="5" t="s">
        <v>1682</v>
      </c>
      <c r="O472" s="5" t="s">
        <v>1680</v>
      </c>
      <c r="P472" s="6">
        <v>1393</v>
      </c>
      <c r="Q472" s="6">
        <v>4393</v>
      </c>
      <c r="R472" s="6">
        <v>0</v>
      </c>
      <c r="S472" s="6">
        <v>3000</v>
      </c>
      <c r="T472" s="6">
        <v>0</v>
      </c>
    </row>
    <row r="473" spans="1:20">
      <c r="A473" s="5" t="s">
        <v>1672</v>
      </c>
      <c r="B473" s="5" t="s">
        <v>1673</v>
      </c>
      <c r="C473" s="5" t="s">
        <v>1674</v>
      </c>
      <c r="D473" s="5" t="s">
        <v>2</v>
      </c>
      <c r="E473" s="5" t="s">
        <v>1701</v>
      </c>
      <c r="F473" s="5" t="s">
        <v>1702</v>
      </c>
      <c r="G473" s="5" t="s">
        <v>1701</v>
      </c>
      <c r="H473" s="5" t="s">
        <v>1702</v>
      </c>
      <c r="I473" s="5" t="s">
        <v>1886</v>
      </c>
      <c r="J473" s="5" t="s">
        <v>1678</v>
      </c>
      <c r="K473" s="5" t="s">
        <v>1872</v>
      </c>
      <c r="L473" s="5" t="s">
        <v>1680</v>
      </c>
      <c r="M473" s="5" t="s">
        <v>1681</v>
      </c>
      <c r="N473" s="5" t="s">
        <v>1682</v>
      </c>
      <c r="O473" s="5" t="s">
        <v>1680</v>
      </c>
      <c r="P473" s="6">
        <v>1393</v>
      </c>
      <c r="Q473" s="6">
        <v>4393</v>
      </c>
      <c r="R473" s="6">
        <v>0</v>
      </c>
      <c r="S473" s="6">
        <v>3000</v>
      </c>
      <c r="T473" s="6">
        <v>0</v>
      </c>
    </row>
    <row r="474" spans="1:20">
      <c r="A474" s="5" t="s">
        <v>1672</v>
      </c>
      <c r="B474" s="5" t="s">
        <v>1673</v>
      </c>
      <c r="C474" s="5" t="s">
        <v>1674</v>
      </c>
      <c r="D474" s="5" t="s">
        <v>2</v>
      </c>
      <c r="E474" s="5" t="s">
        <v>1703</v>
      </c>
      <c r="F474" s="5" t="s">
        <v>1704</v>
      </c>
      <c r="G474" s="5" t="s">
        <v>1705</v>
      </c>
      <c r="H474" s="5" t="s">
        <v>1706</v>
      </c>
      <c r="I474" s="5" t="s">
        <v>1886</v>
      </c>
      <c r="J474" s="5" t="s">
        <v>1678</v>
      </c>
      <c r="K474" s="5" t="s">
        <v>1872</v>
      </c>
      <c r="L474" s="5" t="s">
        <v>1680</v>
      </c>
      <c r="M474" s="5" t="s">
        <v>1681</v>
      </c>
      <c r="N474" s="5" t="s">
        <v>1682</v>
      </c>
      <c r="O474" s="5" t="s">
        <v>1680</v>
      </c>
      <c r="P474" s="6">
        <v>1393</v>
      </c>
      <c r="Q474" s="6">
        <v>4393</v>
      </c>
      <c r="R474" s="6">
        <v>0</v>
      </c>
      <c r="S474" s="6">
        <v>3000</v>
      </c>
      <c r="T474" s="6">
        <v>0</v>
      </c>
    </row>
    <row r="475" spans="1:20">
      <c r="A475" s="5" t="s">
        <v>1672</v>
      </c>
      <c r="B475" s="5" t="s">
        <v>1673</v>
      </c>
      <c r="C475" s="5" t="s">
        <v>1674</v>
      </c>
      <c r="D475" s="5" t="s">
        <v>2</v>
      </c>
      <c r="E475" s="5" t="s">
        <v>1707</v>
      </c>
      <c r="F475" s="5" t="s">
        <v>1708</v>
      </c>
      <c r="G475" s="5" t="s">
        <v>1707</v>
      </c>
      <c r="H475" s="5" t="s">
        <v>1708</v>
      </c>
      <c r="I475" s="5" t="s">
        <v>1886</v>
      </c>
      <c r="J475" s="5" t="s">
        <v>1678</v>
      </c>
      <c r="K475" s="5" t="s">
        <v>1872</v>
      </c>
      <c r="L475" s="5" t="s">
        <v>1680</v>
      </c>
      <c r="M475" s="5" t="s">
        <v>1681</v>
      </c>
      <c r="N475" s="5" t="s">
        <v>1682</v>
      </c>
      <c r="O475" s="5" t="s">
        <v>1680</v>
      </c>
      <c r="P475" s="6">
        <v>1393</v>
      </c>
      <c r="Q475" s="6">
        <v>4393</v>
      </c>
      <c r="R475" s="6">
        <v>0</v>
      </c>
      <c r="S475" s="6">
        <v>3000</v>
      </c>
      <c r="T475" s="6">
        <v>0</v>
      </c>
    </row>
    <row r="476" spans="1:20">
      <c r="A476" s="5" t="s">
        <v>1672</v>
      </c>
      <c r="B476" s="5" t="s">
        <v>1673</v>
      </c>
      <c r="C476" s="5" t="s">
        <v>1674</v>
      </c>
      <c r="D476" s="5" t="s">
        <v>2</v>
      </c>
      <c r="E476" s="5" t="s">
        <v>1709</v>
      </c>
      <c r="F476" s="5" t="s">
        <v>1710</v>
      </c>
      <c r="G476" s="5" t="s">
        <v>1709</v>
      </c>
      <c r="H476" s="5" t="s">
        <v>1710</v>
      </c>
      <c r="I476" s="5" t="s">
        <v>1886</v>
      </c>
      <c r="J476" s="5" t="s">
        <v>1678</v>
      </c>
      <c r="K476" s="5" t="s">
        <v>1872</v>
      </c>
      <c r="L476" s="5" t="s">
        <v>1680</v>
      </c>
      <c r="M476" s="5" t="s">
        <v>1681</v>
      </c>
      <c r="N476" s="5" t="s">
        <v>1682</v>
      </c>
      <c r="O476" s="5" t="s">
        <v>1680</v>
      </c>
      <c r="P476" s="6">
        <v>1393</v>
      </c>
      <c r="Q476" s="6">
        <v>4393</v>
      </c>
      <c r="R476" s="6">
        <v>0</v>
      </c>
      <c r="S476" s="6">
        <v>3000</v>
      </c>
      <c r="T476" s="6">
        <v>0</v>
      </c>
    </row>
    <row r="477" spans="1:20">
      <c r="A477" s="5" t="s">
        <v>1672</v>
      </c>
      <c r="B477" s="5" t="s">
        <v>1673</v>
      </c>
      <c r="C477" s="5" t="s">
        <v>1674</v>
      </c>
      <c r="D477" s="5" t="s">
        <v>2</v>
      </c>
      <c r="E477" s="5" t="s">
        <v>1711</v>
      </c>
      <c r="F477" s="5" t="s">
        <v>1712</v>
      </c>
      <c r="G477" s="5" t="s">
        <v>1711</v>
      </c>
      <c r="H477" s="5" t="s">
        <v>1712</v>
      </c>
      <c r="I477" s="5" t="s">
        <v>1886</v>
      </c>
      <c r="J477" s="5" t="s">
        <v>1678</v>
      </c>
      <c r="K477" s="5" t="s">
        <v>1872</v>
      </c>
      <c r="L477" s="5" t="s">
        <v>1680</v>
      </c>
      <c r="M477" s="5" t="s">
        <v>1681</v>
      </c>
      <c r="N477" s="5" t="s">
        <v>1682</v>
      </c>
      <c r="O477" s="5" t="s">
        <v>1680</v>
      </c>
      <c r="P477" s="6">
        <v>1393</v>
      </c>
      <c r="Q477" s="6">
        <v>4393</v>
      </c>
      <c r="R477" s="6">
        <v>0</v>
      </c>
      <c r="S477" s="6">
        <v>3000</v>
      </c>
      <c r="T477" s="6">
        <v>0</v>
      </c>
    </row>
    <row r="478" spans="1:20">
      <c r="A478" s="5" t="s">
        <v>1672</v>
      </c>
      <c r="B478" s="5" t="s">
        <v>1673</v>
      </c>
      <c r="C478" s="5" t="s">
        <v>1674</v>
      </c>
      <c r="D478" s="5" t="s">
        <v>2</v>
      </c>
      <c r="E478" s="5" t="s">
        <v>1713</v>
      </c>
      <c r="F478" s="5" t="s">
        <v>1714</v>
      </c>
      <c r="G478" s="5" t="s">
        <v>1713</v>
      </c>
      <c r="H478" s="5" t="s">
        <v>1714</v>
      </c>
      <c r="I478" s="5" t="s">
        <v>1886</v>
      </c>
      <c r="J478" s="5" t="s">
        <v>1678</v>
      </c>
      <c r="K478" s="5" t="s">
        <v>1872</v>
      </c>
      <c r="L478" s="5" t="s">
        <v>1680</v>
      </c>
      <c r="M478" s="5" t="s">
        <v>1681</v>
      </c>
      <c r="N478" s="5" t="s">
        <v>1682</v>
      </c>
      <c r="O478" s="5" t="s">
        <v>1680</v>
      </c>
      <c r="P478" s="6">
        <v>1393</v>
      </c>
      <c r="Q478" s="6">
        <v>4393</v>
      </c>
      <c r="R478" s="6">
        <v>0</v>
      </c>
      <c r="S478" s="6">
        <v>3000</v>
      </c>
      <c r="T478" s="6">
        <v>0</v>
      </c>
    </row>
    <row r="479" spans="1:20">
      <c r="A479" s="5" t="s">
        <v>1672</v>
      </c>
      <c r="B479" s="5" t="s">
        <v>1673</v>
      </c>
      <c r="C479" s="5" t="s">
        <v>1864</v>
      </c>
      <c r="D479" s="5" t="s">
        <v>309</v>
      </c>
      <c r="E479" s="5" t="s">
        <v>1865</v>
      </c>
      <c r="F479" s="5" t="s">
        <v>1866</v>
      </c>
      <c r="G479" s="5" t="s">
        <v>1865</v>
      </c>
      <c r="H479" s="5" t="s">
        <v>1866</v>
      </c>
      <c r="I479" s="5" t="s">
        <v>1886</v>
      </c>
      <c r="J479" s="5" t="s">
        <v>1678</v>
      </c>
      <c r="K479" s="5" t="s">
        <v>1872</v>
      </c>
      <c r="L479" s="5" t="s">
        <v>1680</v>
      </c>
      <c r="M479" s="5" t="s">
        <v>1681</v>
      </c>
      <c r="N479" s="5" t="s">
        <v>1682</v>
      </c>
      <c r="O479" s="5" t="s">
        <v>1680</v>
      </c>
      <c r="P479" s="6">
        <v>20</v>
      </c>
      <c r="Q479" s="6">
        <v>20</v>
      </c>
      <c r="R479" s="6">
        <v>0</v>
      </c>
      <c r="S479" s="6">
        <v>0</v>
      </c>
      <c r="T479" s="6">
        <v>0</v>
      </c>
    </row>
    <row r="480" spans="1:20">
      <c r="A480" s="5" t="s">
        <v>1672</v>
      </c>
      <c r="B480" s="5" t="s">
        <v>1673</v>
      </c>
      <c r="C480" s="5" t="s">
        <v>1864</v>
      </c>
      <c r="D480" s="5" t="s">
        <v>309</v>
      </c>
      <c r="E480" s="5" t="s">
        <v>1867</v>
      </c>
      <c r="F480" s="5" t="s">
        <v>1868</v>
      </c>
      <c r="G480" s="5" t="s">
        <v>1867</v>
      </c>
      <c r="H480" s="5" t="s">
        <v>1868</v>
      </c>
      <c r="I480" s="5" t="s">
        <v>1886</v>
      </c>
      <c r="J480" s="5" t="s">
        <v>1678</v>
      </c>
      <c r="K480" s="5" t="s">
        <v>1872</v>
      </c>
      <c r="L480" s="5" t="s">
        <v>1680</v>
      </c>
      <c r="M480" s="5" t="s">
        <v>1681</v>
      </c>
      <c r="N480" s="5" t="s">
        <v>1682</v>
      </c>
      <c r="O480" s="5" t="s">
        <v>1680</v>
      </c>
      <c r="P480" s="6">
        <v>20</v>
      </c>
      <c r="Q480" s="6">
        <v>20</v>
      </c>
      <c r="R480" s="6">
        <v>0</v>
      </c>
      <c r="S480" s="6">
        <v>0</v>
      </c>
      <c r="T480" s="6">
        <v>0</v>
      </c>
    </row>
    <row r="481" spans="1:20">
      <c r="A481" s="5" t="s">
        <v>1672</v>
      </c>
      <c r="B481" s="5" t="s">
        <v>1673</v>
      </c>
      <c r="C481" s="5" t="s">
        <v>1715</v>
      </c>
      <c r="D481" s="5" t="s">
        <v>325</v>
      </c>
      <c r="E481" s="5" t="s">
        <v>1716</v>
      </c>
      <c r="F481" s="5" t="s">
        <v>1717</v>
      </c>
      <c r="G481" s="5" t="s">
        <v>1716</v>
      </c>
      <c r="H481" s="5" t="s">
        <v>1717</v>
      </c>
      <c r="I481" s="5" t="s">
        <v>1886</v>
      </c>
      <c r="J481" s="5" t="s">
        <v>1678</v>
      </c>
      <c r="K481" s="5" t="s">
        <v>1872</v>
      </c>
      <c r="L481" s="5" t="s">
        <v>1680</v>
      </c>
      <c r="M481" s="5" t="s">
        <v>1681</v>
      </c>
      <c r="N481" s="5" t="s">
        <v>1682</v>
      </c>
      <c r="O481" s="5" t="s">
        <v>1680</v>
      </c>
      <c r="P481" s="6">
        <v>45736.800000000003</v>
      </c>
      <c r="Q481" s="6">
        <v>59600</v>
      </c>
      <c r="R481" s="6">
        <v>0</v>
      </c>
      <c r="S481" s="6">
        <v>13863.2</v>
      </c>
      <c r="T481" s="6">
        <v>0</v>
      </c>
    </row>
    <row r="482" spans="1:20">
      <c r="A482" s="5" t="s">
        <v>1672</v>
      </c>
      <c r="B482" s="5" t="s">
        <v>1673</v>
      </c>
      <c r="C482" s="5" t="s">
        <v>1715</v>
      </c>
      <c r="D482" s="5" t="s">
        <v>325</v>
      </c>
      <c r="E482" s="5" t="s">
        <v>1718</v>
      </c>
      <c r="F482" s="5" t="s">
        <v>1719</v>
      </c>
      <c r="G482" s="5" t="s">
        <v>1718</v>
      </c>
      <c r="H482" s="5" t="s">
        <v>1719</v>
      </c>
      <c r="I482" s="5" t="s">
        <v>1886</v>
      </c>
      <c r="J482" s="5" t="s">
        <v>1678</v>
      </c>
      <c r="K482" s="5" t="s">
        <v>1872</v>
      </c>
      <c r="L482" s="5" t="s">
        <v>1680</v>
      </c>
      <c r="M482" s="5" t="s">
        <v>1681</v>
      </c>
      <c r="N482" s="5" t="s">
        <v>1682</v>
      </c>
      <c r="O482" s="5" t="s">
        <v>1680</v>
      </c>
      <c r="P482" s="6">
        <v>45736.800000000003</v>
      </c>
      <c r="Q482" s="6">
        <v>59600</v>
      </c>
      <c r="R482" s="6">
        <v>0</v>
      </c>
      <c r="S482" s="6">
        <v>13863.2</v>
      </c>
      <c r="T482" s="6">
        <v>0</v>
      </c>
    </row>
    <row r="483" spans="1:20">
      <c r="A483" s="5" t="s">
        <v>1672</v>
      </c>
      <c r="B483" s="5" t="s">
        <v>1673</v>
      </c>
      <c r="C483" s="5" t="s">
        <v>1715</v>
      </c>
      <c r="D483" s="5" t="s">
        <v>325</v>
      </c>
      <c r="E483" s="5" t="s">
        <v>1720</v>
      </c>
      <c r="F483" s="5" t="s">
        <v>1721</v>
      </c>
      <c r="G483" s="5" t="s">
        <v>1720</v>
      </c>
      <c r="H483" s="5" t="s">
        <v>1721</v>
      </c>
      <c r="I483" s="5" t="s">
        <v>1886</v>
      </c>
      <c r="J483" s="5" t="s">
        <v>1678</v>
      </c>
      <c r="K483" s="5" t="s">
        <v>1872</v>
      </c>
      <c r="L483" s="5" t="s">
        <v>1680</v>
      </c>
      <c r="M483" s="5" t="s">
        <v>1681</v>
      </c>
      <c r="N483" s="5" t="s">
        <v>1682</v>
      </c>
      <c r="O483" s="5" t="s">
        <v>1680</v>
      </c>
      <c r="P483" s="6">
        <v>45736.800000000003</v>
      </c>
      <c r="Q483" s="6">
        <v>59600</v>
      </c>
      <c r="R483" s="6">
        <v>0</v>
      </c>
      <c r="S483" s="6">
        <v>13863.2</v>
      </c>
      <c r="T483" s="6">
        <v>0</v>
      </c>
    </row>
    <row r="484" spans="1:20">
      <c r="A484" s="5" t="s">
        <v>1672</v>
      </c>
      <c r="B484" s="5" t="s">
        <v>1673</v>
      </c>
      <c r="C484" s="5" t="s">
        <v>1715</v>
      </c>
      <c r="D484" s="5" t="s">
        <v>325</v>
      </c>
      <c r="E484" s="5" t="s">
        <v>1722</v>
      </c>
      <c r="F484" s="5" t="s">
        <v>1723</v>
      </c>
      <c r="G484" s="5" t="s">
        <v>1724</v>
      </c>
      <c r="H484" s="5" t="s">
        <v>1725</v>
      </c>
      <c r="I484" s="5" t="s">
        <v>1886</v>
      </c>
      <c r="J484" s="5" t="s">
        <v>1678</v>
      </c>
      <c r="K484" s="5" t="s">
        <v>1872</v>
      </c>
      <c r="L484" s="5" t="s">
        <v>1680</v>
      </c>
      <c r="M484" s="5" t="s">
        <v>1681</v>
      </c>
      <c r="N484" s="5" t="s">
        <v>1682</v>
      </c>
      <c r="O484" s="5" t="s">
        <v>1680</v>
      </c>
      <c r="P484" s="6">
        <v>45736.800000000003</v>
      </c>
      <c r="Q484" s="6">
        <v>59600</v>
      </c>
      <c r="R484" s="6">
        <v>0</v>
      </c>
      <c r="S484" s="6">
        <v>13863.2</v>
      </c>
      <c r="T484" s="6">
        <v>0</v>
      </c>
    </row>
    <row r="485" spans="1:20">
      <c r="A485" s="5" t="s">
        <v>1672</v>
      </c>
      <c r="B485" s="5" t="s">
        <v>1673</v>
      </c>
      <c r="C485" s="5" t="s">
        <v>1715</v>
      </c>
      <c r="D485" s="5" t="s">
        <v>325</v>
      </c>
      <c r="E485" s="5" t="s">
        <v>1726</v>
      </c>
      <c r="F485" s="5" t="s">
        <v>1727</v>
      </c>
      <c r="G485" s="5" t="s">
        <v>1726</v>
      </c>
      <c r="H485" s="5" t="s">
        <v>1727</v>
      </c>
      <c r="I485" s="5" t="s">
        <v>1886</v>
      </c>
      <c r="J485" s="5" t="s">
        <v>1678</v>
      </c>
      <c r="K485" s="5" t="s">
        <v>1872</v>
      </c>
      <c r="L485" s="5" t="s">
        <v>1680</v>
      </c>
      <c r="M485" s="5" t="s">
        <v>1681</v>
      </c>
      <c r="N485" s="5" t="s">
        <v>1682</v>
      </c>
      <c r="O485" s="5" t="s">
        <v>1680</v>
      </c>
      <c r="P485" s="6">
        <v>45736.800000000003</v>
      </c>
      <c r="Q485" s="6">
        <v>59600</v>
      </c>
      <c r="R485" s="6">
        <v>0</v>
      </c>
      <c r="S485" s="6">
        <v>13863.2</v>
      </c>
      <c r="T485" s="6">
        <v>0</v>
      </c>
    </row>
    <row r="486" spans="1:20">
      <c r="A486" s="5" t="s">
        <v>1672</v>
      </c>
      <c r="B486" s="5" t="s">
        <v>1673</v>
      </c>
      <c r="C486" s="5" t="s">
        <v>1715</v>
      </c>
      <c r="D486" s="5" t="s">
        <v>325</v>
      </c>
      <c r="E486" s="5" t="s">
        <v>1728</v>
      </c>
      <c r="F486" s="5" t="s">
        <v>1729</v>
      </c>
      <c r="G486" s="5" t="s">
        <v>1728</v>
      </c>
      <c r="H486" s="5" t="s">
        <v>1729</v>
      </c>
      <c r="I486" s="5" t="s">
        <v>1886</v>
      </c>
      <c r="J486" s="5" t="s">
        <v>1678</v>
      </c>
      <c r="K486" s="5" t="s">
        <v>1872</v>
      </c>
      <c r="L486" s="5" t="s">
        <v>1680</v>
      </c>
      <c r="M486" s="5" t="s">
        <v>1681</v>
      </c>
      <c r="N486" s="5" t="s">
        <v>1682</v>
      </c>
      <c r="O486" s="5" t="s">
        <v>1680</v>
      </c>
      <c r="P486" s="6">
        <v>45736.800000000003</v>
      </c>
      <c r="Q486" s="6">
        <v>59600</v>
      </c>
      <c r="R486" s="6">
        <v>0</v>
      </c>
      <c r="S486" s="6">
        <v>13863.2</v>
      </c>
      <c r="T486" s="6">
        <v>0</v>
      </c>
    </row>
    <row r="487" spans="1:20">
      <c r="A487" s="5" t="s">
        <v>1672</v>
      </c>
      <c r="B487" s="5" t="s">
        <v>1673</v>
      </c>
      <c r="C487" s="5" t="s">
        <v>1715</v>
      </c>
      <c r="D487" s="5" t="s">
        <v>325</v>
      </c>
      <c r="E487" s="5" t="s">
        <v>1730</v>
      </c>
      <c r="F487" s="5" t="s">
        <v>1731</v>
      </c>
      <c r="G487" s="5" t="s">
        <v>1730</v>
      </c>
      <c r="H487" s="5" t="s">
        <v>1731</v>
      </c>
      <c r="I487" s="5" t="s">
        <v>1886</v>
      </c>
      <c r="J487" s="5" t="s">
        <v>1678</v>
      </c>
      <c r="K487" s="5" t="s">
        <v>1872</v>
      </c>
      <c r="L487" s="5" t="s">
        <v>1680</v>
      </c>
      <c r="M487" s="5" t="s">
        <v>1681</v>
      </c>
      <c r="N487" s="5" t="s">
        <v>1682</v>
      </c>
      <c r="O487" s="5" t="s">
        <v>1680</v>
      </c>
      <c r="P487" s="6">
        <v>45736.800000000003</v>
      </c>
      <c r="Q487" s="6">
        <v>59600</v>
      </c>
      <c r="R487" s="6">
        <v>0</v>
      </c>
      <c r="S487" s="6">
        <v>13863.2</v>
      </c>
      <c r="T487" s="6">
        <v>0</v>
      </c>
    </row>
    <row r="488" spans="1:20">
      <c r="A488" s="5" t="s">
        <v>1672</v>
      </c>
      <c r="B488" s="5" t="s">
        <v>1673</v>
      </c>
      <c r="C488" s="5" t="s">
        <v>1715</v>
      </c>
      <c r="D488" s="5" t="s">
        <v>325</v>
      </c>
      <c r="E488" s="5" t="s">
        <v>1732</v>
      </c>
      <c r="F488" s="5" t="s">
        <v>1733</v>
      </c>
      <c r="G488" s="5" t="s">
        <v>1732</v>
      </c>
      <c r="H488" s="5" t="s">
        <v>1733</v>
      </c>
      <c r="I488" s="5" t="s">
        <v>1886</v>
      </c>
      <c r="J488" s="5" t="s">
        <v>1678</v>
      </c>
      <c r="K488" s="5" t="s">
        <v>1872</v>
      </c>
      <c r="L488" s="5" t="s">
        <v>1680</v>
      </c>
      <c r="M488" s="5" t="s">
        <v>1681</v>
      </c>
      <c r="N488" s="5" t="s">
        <v>1682</v>
      </c>
      <c r="O488" s="5" t="s">
        <v>1680</v>
      </c>
      <c r="P488" s="6">
        <v>45736.800000000003</v>
      </c>
      <c r="Q488" s="6">
        <v>59600</v>
      </c>
      <c r="R488" s="6">
        <v>0</v>
      </c>
      <c r="S488" s="6">
        <v>13863.2</v>
      </c>
      <c r="T488" s="6">
        <v>0</v>
      </c>
    </row>
    <row r="489" spans="1:20">
      <c r="A489" s="5" t="s">
        <v>1672</v>
      </c>
      <c r="B489" s="5" t="s">
        <v>1673</v>
      </c>
      <c r="C489" s="5" t="s">
        <v>1715</v>
      </c>
      <c r="D489" s="5" t="s">
        <v>325</v>
      </c>
      <c r="E489" s="5" t="s">
        <v>1734</v>
      </c>
      <c r="F489" s="5" t="s">
        <v>1735</v>
      </c>
      <c r="G489" s="5" t="s">
        <v>1734</v>
      </c>
      <c r="H489" s="5" t="s">
        <v>1735</v>
      </c>
      <c r="I489" s="5" t="s">
        <v>1886</v>
      </c>
      <c r="J489" s="5" t="s">
        <v>1678</v>
      </c>
      <c r="K489" s="5" t="s">
        <v>1872</v>
      </c>
      <c r="L489" s="5" t="s">
        <v>1680</v>
      </c>
      <c r="M489" s="5" t="s">
        <v>1681</v>
      </c>
      <c r="N489" s="5" t="s">
        <v>1682</v>
      </c>
      <c r="O489" s="5" t="s">
        <v>1680</v>
      </c>
      <c r="P489" s="6">
        <v>45736.800000000003</v>
      </c>
      <c r="Q489" s="6">
        <v>59600</v>
      </c>
      <c r="R489" s="6">
        <v>0</v>
      </c>
      <c r="S489" s="6">
        <v>13863.2</v>
      </c>
      <c r="T489" s="6">
        <v>0</v>
      </c>
    </row>
    <row r="490" spans="1:20">
      <c r="A490" s="5" t="s">
        <v>1672</v>
      </c>
      <c r="B490" s="5" t="s">
        <v>1673</v>
      </c>
      <c r="C490" s="5" t="s">
        <v>1715</v>
      </c>
      <c r="D490" s="5" t="s">
        <v>325</v>
      </c>
      <c r="E490" s="5" t="s">
        <v>1736</v>
      </c>
      <c r="F490" s="5" t="s">
        <v>1737</v>
      </c>
      <c r="G490" s="5" t="s">
        <v>1738</v>
      </c>
      <c r="H490" s="5" t="s">
        <v>1739</v>
      </c>
      <c r="I490" s="5" t="s">
        <v>1886</v>
      </c>
      <c r="J490" s="5" t="s">
        <v>1678</v>
      </c>
      <c r="K490" s="5" t="s">
        <v>1872</v>
      </c>
      <c r="L490" s="5" t="s">
        <v>1680</v>
      </c>
      <c r="M490" s="5" t="s">
        <v>1681</v>
      </c>
      <c r="N490" s="5" t="s">
        <v>1682</v>
      </c>
      <c r="O490" s="5" t="s">
        <v>1680</v>
      </c>
      <c r="P490" s="6">
        <v>45736.800000000003</v>
      </c>
      <c r="Q490" s="6">
        <v>59600</v>
      </c>
      <c r="R490" s="6">
        <v>0</v>
      </c>
      <c r="S490" s="6">
        <v>13863.2</v>
      </c>
      <c r="T490" s="6">
        <v>0</v>
      </c>
    </row>
    <row r="491" spans="1:20">
      <c r="A491" s="5" t="s">
        <v>1672</v>
      </c>
      <c r="B491" s="5" t="s">
        <v>1673</v>
      </c>
      <c r="C491" s="5" t="s">
        <v>1715</v>
      </c>
      <c r="D491" s="5" t="s">
        <v>325</v>
      </c>
      <c r="E491" s="5" t="s">
        <v>1740</v>
      </c>
      <c r="F491" s="5" t="s">
        <v>1741</v>
      </c>
      <c r="G491" s="5" t="s">
        <v>1740</v>
      </c>
      <c r="H491" s="5" t="s">
        <v>1741</v>
      </c>
      <c r="I491" s="5" t="s">
        <v>1886</v>
      </c>
      <c r="J491" s="5" t="s">
        <v>1678</v>
      </c>
      <c r="K491" s="5" t="s">
        <v>1872</v>
      </c>
      <c r="L491" s="5" t="s">
        <v>1680</v>
      </c>
      <c r="M491" s="5" t="s">
        <v>1681</v>
      </c>
      <c r="N491" s="5" t="s">
        <v>1682</v>
      </c>
      <c r="O491" s="5" t="s">
        <v>1680</v>
      </c>
      <c r="P491" s="6">
        <v>45736.800000000003</v>
      </c>
      <c r="Q491" s="6">
        <v>59600</v>
      </c>
      <c r="R491" s="6">
        <v>0</v>
      </c>
      <c r="S491" s="6">
        <v>13863.2</v>
      </c>
      <c r="T491" s="6">
        <v>0</v>
      </c>
    </row>
    <row r="492" spans="1:20">
      <c r="A492" s="5" t="s">
        <v>1672</v>
      </c>
      <c r="B492" s="5" t="s">
        <v>1673</v>
      </c>
      <c r="C492" s="5" t="s">
        <v>1715</v>
      </c>
      <c r="D492" s="5" t="s">
        <v>325</v>
      </c>
      <c r="E492" s="5" t="s">
        <v>1742</v>
      </c>
      <c r="F492" s="5" t="s">
        <v>1743</v>
      </c>
      <c r="G492" s="5" t="s">
        <v>1744</v>
      </c>
      <c r="H492" s="5" t="s">
        <v>1745</v>
      </c>
      <c r="I492" s="5" t="s">
        <v>1886</v>
      </c>
      <c r="J492" s="5" t="s">
        <v>1678</v>
      </c>
      <c r="K492" s="5" t="s">
        <v>1872</v>
      </c>
      <c r="L492" s="5" t="s">
        <v>1680</v>
      </c>
      <c r="M492" s="5" t="s">
        <v>1681</v>
      </c>
      <c r="N492" s="5" t="s">
        <v>1682</v>
      </c>
      <c r="O492" s="5" t="s">
        <v>1680</v>
      </c>
      <c r="P492" s="6">
        <v>45736.800000000003</v>
      </c>
      <c r="Q492" s="6">
        <v>59600</v>
      </c>
      <c r="R492" s="6">
        <v>0</v>
      </c>
      <c r="S492" s="6">
        <v>13863.2</v>
      </c>
      <c r="T492" s="6">
        <v>0</v>
      </c>
    </row>
    <row r="493" spans="1:20">
      <c r="A493" s="5" t="s">
        <v>1672</v>
      </c>
      <c r="B493" s="5" t="s">
        <v>1673</v>
      </c>
      <c r="C493" s="5" t="s">
        <v>1715</v>
      </c>
      <c r="D493" s="5" t="s">
        <v>325</v>
      </c>
      <c r="E493" s="5" t="s">
        <v>1746</v>
      </c>
      <c r="F493" s="5" t="s">
        <v>1747</v>
      </c>
      <c r="G493" s="5" t="s">
        <v>1748</v>
      </c>
      <c r="H493" s="5" t="s">
        <v>1749</v>
      </c>
      <c r="I493" s="5" t="s">
        <v>1886</v>
      </c>
      <c r="J493" s="5" t="s">
        <v>1678</v>
      </c>
      <c r="K493" s="5" t="s">
        <v>1872</v>
      </c>
      <c r="L493" s="5" t="s">
        <v>1680</v>
      </c>
      <c r="M493" s="5" t="s">
        <v>1681</v>
      </c>
      <c r="N493" s="5" t="s">
        <v>1682</v>
      </c>
      <c r="O493" s="5" t="s">
        <v>1680</v>
      </c>
      <c r="P493" s="6">
        <v>45736.800000000003</v>
      </c>
      <c r="Q493" s="6">
        <v>59600</v>
      </c>
      <c r="R493" s="6">
        <v>0</v>
      </c>
      <c r="S493" s="6">
        <v>13863.2</v>
      </c>
      <c r="T493" s="6">
        <v>0</v>
      </c>
    </row>
    <row r="494" spans="1:20">
      <c r="A494" s="5" t="s">
        <v>1672</v>
      </c>
      <c r="B494" s="5" t="s">
        <v>1673</v>
      </c>
      <c r="C494" s="5" t="s">
        <v>1715</v>
      </c>
      <c r="D494" s="5" t="s">
        <v>325</v>
      </c>
      <c r="E494" s="5" t="s">
        <v>1750</v>
      </c>
      <c r="F494" s="5" t="s">
        <v>1751</v>
      </c>
      <c r="G494" s="5" t="s">
        <v>1752</v>
      </c>
      <c r="H494" s="5" t="s">
        <v>1753</v>
      </c>
      <c r="I494" s="5" t="s">
        <v>1886</v>
      </c>
      <c r="J494" s="5" t="s">
        <v>1678</v>
      </c>
      <c r="K494" s="5" t="s">
        <v>1872</v>
      </c>
      <c r="L494" s="5" t="s">
        <v>1680</v>
      </c>
      <c r="M494" s="5" t="s">
        <v>1681</v>
      </c>
      <c r="N494" s="5" t="s">
        <v>1682</v>
      </c>
      <c r="O494" s="5" t="s">
        <v>1680</v>
      </c>
      <c r="P494" s="6">
        <v>45736.800000000003</v>
      </c>
      <c r="Q494" s="6">
        <v>59600</v>
      </c>
      <c r="R494" s="6">
        <v>0</v>
      </c>
      <c r="S494" s="6">
        <v>13863.2</v>
      </c>
      <c r="T494" s="6">
        <v>0</v>
      </c>
    </row>
    <row r="495" spans="1:20">
      <c r="A495" s="5" t="s">
        <v>1672</v>
      </c>
      <c r="B495" s="5" t="s">
        <v>1673</v>
      </c>
      <c r="C495" s="5" t="s">
        <v>1715</v>
      </c>
      <c r="D495" s="5" t="s">
        <v>325</v>
      </c>
      <c r="E495" s="5" t="s">
        <v>1754</v>
      </c>
      <c r="F495" s="5" t="s">
        <v>1755</v>
      </c>
      <c r="G495" s="5" t="s">
        <v>1756</v>
      </c>
      <c r="H495" s="5" t="s">
        <v>1757</v>
      </c>
      <c r="I495" s="5" t="s">
        <v>1886</v>
      </c>
      <c r="J495" s="5" t="s">
        <v>1678</v>
      </c>
      <c r="K495" s="5" t="s">
        <v>1872</v>
      </c>
      <c r="L495" s="5" t="s">
        <v>1680</v>
      </c>
      <c r="M495" s="5" t="s">
        <v>1681</v>
      </c>
      <c r="N495" s="5" t="s">
        <v>1682</v>
      </c>
      <c r="O495" s="5" t="s">
        <v>1680</v>
      </c>
      <c r="P495" s="6">
        <v>45736.800000000003</v>
      </c>
      <c r="Q495" s="6">
        <v>59600</v>
      </c>
      <c r="R495" s="6">
        <v>0</v>
      </c>
      <c r="S495" s="6">
        <v>13863.2</v>
      </c>
      <c r="T495" s="6">
        <v>0</v>
      </c>
    </row>
    <row r="496" spans="1:20">
      <c r="A496" s="5" t="s">
        <v>1672</v>
      </c>
      <c r="B496" s="5" t="s">
        <v>1673</v>
      </c>
      <c r="C496" s="5" t="s">
        <v>1715</v>
      </c>
      <c r="D496" s="5" t="s">
        <v>325</v>
      </c>
      <c r="E496" s="5" t="s">
        <v>1758</v>
      </c>
      <c r="F496" s="5" t="s">
        <v>1759</v>
      </c>
      <c r="G496" s="5" t="s">
        <v>1758</v>
      </c>
      <c r="H496" s="5" t="s">
        <v>1759</v>
      </c>
      <c r="I496" s="5" t="s">
        <v>1886</v>
      </c>
      <c r="J496" s="5" t="s">
        <v>1678</v>
      </c>
      <c r="K496" s="5" t="s">
        <v>1872</v>
      </c>
      <c r="L496" s="5" t="s">
        <v>1680</v>
      </c>
      <c r="M496" s="5" t="s">
        <v>1681</v>
      </c>
      <c r="N496" s="5" t="s">
        <v>1682</v>
      </c>
      <c r="O496" s="5" t="s">
        <v>1680</v>
      </c>
      <c r="P496" s="6">
        <v>45736.800000000003</v>
      </c>
      <c r="Q496" s="6">
        <v>59600</v>
      </c>
      <c r="R496" s="6">
        <v>0</v>
      </c>
      <c r="S496" s="6">
        <v>13863.2</v>
      </c>
      <c r="T496" s="6">
        <v>0</v>
      </c>
    </row>
    <row r="497" spans="1:20">
      <c r="A497" s="5" t="s">
        <v>1672</v>
      </c>
      <c r="B497" s="5" t="s">
        <v>1673</v>
      </c>
      <c r="C497" s="5" t="s">
        <v>1715</v>
      </c>
      <c r="D497" s="5" t="s">
        <v>325</v>
      </c>
      <c r="E497" s="5" t="s">
        <v>1760</v>
      </c>
      <c r="F497" s="5" t="s">
        <v>1761</v>
      </c>
      <c r="G497" s="5" t="s">
        <v>1760</v>
      </c>
      <c r="H497" s="5" t="s">
        <v>1761</v>
      </c>
      <c r="I497" s="5" t="s">
        <v>1886</v>
      </c>
      <c r="J497" s="5" t="s">
        <v>1678</v>
      </c>
      <c r="K497" s="5" t="s">
        <v>1872</v>
      </c>
      <c r="L497" s="5" t="s">
        <v>1680</v>
      </c>
      <c r="M497" s="5" t="s">
        <v>1681</v>
      </c>
      <c r="N497" s="5" t="s">
        <v>1682</v>
      </c>
      <c r="O497" s="5" t="s">
        <v>1680</v>
      </c>
      <c r="P497" s="6">
        <v>45736.800000000003</v>
      </c>
      <c r="Q497" s="6">
        <v>59600</v>
      </c>
      <c r="R497" s="6">
        <v>0</v>
      </c>
      <c r="S497" s="6">
        <v>13863.2</v>
      </c>
      <c r="T497" s="6">
        <v>0</v>
      </c>
    </row>
    <row r="498" spans="1:20">
      <c r="A498" s="5" t="s">
        <v>1672</v>
      </c>
      <c r="B498" s="5" t="s">
        <v>1673</v>
      </c>
      <c r="C498" s="5" t="s">
        <v>1715</v>
      </c>
      <c r="D498" s="5" t="s">
        <v>325</v>
      </c>
      <c r="E498" s="5" t="s">
        <v>1762</v>
      </c>
      <c r="F498" s="5" t="s">
        <v>1763</v>
      </c>
      <c r="G498" s="5" t="s">
        <v>1764</v>
      </c>
      <c r="H498" s="5" t="s">
        <v>1765</v>
      </c>
      <c r="I498" s="5" t="s">
        <v>1886</v>
      </c>
      <c r="J498" s="5" t="s">
        <v>1678</v>
      </c>
      <c r="K498" s="5" t="s">
        <v>1872</v>
      </c>
      <c r="L498" s="5" t="s">
        <v>1680</v>
      </c>
      <c r="M498" s="5" t="s">
        <v>1681</v>
      </c>
      <c r="N498" s="5" t="s">
        <v>1682</v>
      </c>
      <c r="O498" s="5" t="s">
        <v>1680</v>
      </c>
      <c r="P498" s="6">
        <v>45736.800000000003</v>
      </c>
      <c r="Q498" s="6">
        <v>59600</v>
      </c>
      <c r="R498" s="6">
        <v>0</v>
      </c>
      <c r="S498" s="6">
        <v>13863.2</v>
      </c>
      <c r="T498" s="6">
        <v>0</v>
      </c>
    </row>
    <row r="499" spans="1:20">
      <c r="A499" s="5" t="s">
        <v>1672</v>
      </c>
      <c r="B499" s="5" t="s">
        <v>1673</v>
      </c>
      <c r="C499" s="5" t="s">
        <v>1715</v>
      </c>
      <c r="D499" s="5" t="s">
        <v>325</v>
      </c>
      <c r="E499" s="5" t="s">
        <v>1766</v>
      </c>
      <c r="F499" s="5" t="s">
        <v>1767</v>
      </c>
      <c r="G499" s="5" t="s">
        <v>1766</v>
      </c>
      <c r="H499" s="5" t="s">
        <v>1767</v>
      </c>
      <c r="I499" s="5" t="s">
        <v>1886</v>
      </c>
      <c r="J499" s="5" t="s">
        <v>1678</v>
      </c>
      <c r="K499" s="5" t="s">
        <v>1872</v>
      </c>
      <c r="L499" s="5" t="s">
        <v>1680</v>
      </c>
      <c r="M499" s="5" t="s">
        <v>1681</v>
      </c>
      <c r="N499" s="5" t="s">
        <v>1682</v>
      </c>
      <c r="O499" s="5" t="s">
        <v>1680</v>
      </c>
      <c r="P499" s="6">
        <v>45736.800000000003</v>
      </c>
      <c r="Q499" s="6">
        <v>59600</v>
      </c>
      <c r="R499" s="6">
        <v>0</v>
      </c>
      <c r="S499" s="6">
        <v>13863.2</v>
      </c>
      <c r="T499" s="6">
        <v>0</v>
      </c>
    </row>
    <row r="500" spans="1:20">
      <c r="A500" s="5" t="s">
        <v>1672</v>
      </c>
      <c r="B500" s="5" t="s">
        <v>1673</v>
      </c>
      <c r="C500" s="5" t="s">
        <v>1715</v>
      </c>
      <c r="D500" s="5" t="s">
        <v>325</v>
      </c>
      <c r="E500" s="5" t="s">
        <v>1768</v>
      </c>
      <c r="F500" s="5" t="s">
        <v>1769</v>
      </c>
      <c r="G500" s="5" t="s">
        <v>1770</v>
      </c>
      <c r="H500" s="5" t="s">
        <v>1771</v>
      </c>
      <c r="I500" s="5" t="s">
        <v>1886</v>
      </c>
      <c r="J500" s="5" t="s">
        <v>1678</v>
      </c>
      <c r="K500" s="5" t="s">
        <v>1872</v>
      </c>
      <c r="L500" s="5" t="s">
        <v>1680</v>
      </c>
      <c r="M500" s="5" t="s">
        <v>1681</v>
      </c>
      <c r="N500" s="5" t="s">
        <v>1682</v>
      </c>
      <c r="O500" s="5" t="s">
        <v>1680</v>
      </c>
      <c r="P500" s="6">
        <v>45736.800000000003</v>
      </c>
      <c r="Q500" s="6">
        <v>59600</v>
      </c>
      <c r="R500" s="6">
        <v>0</v>
      </c>
      <c r="S500" s="6">
        <v>13863.2</v>
      </c>
      <c r="T500" s="6">
        <v>0</v>
      </c>
    </row>
    <row r="501" spans="1:20">
      <c r="A501" s="5" t="s">
        <v>1672</v>
      </c>
      <c r="B501" s="5" t="s">
        <v>1673</v>
      </c>
      <c r="C501" s="5" t="s">
        <v>1715</v>
      </c>
      <c r="D501" s="5" t="s">
        <v>325</v>
      </c>
      <c r="E501" s="5" t="s">
        <v>1772</v>
      </c>
      <c r="F501" s="5" t="s">
        <v>1773</v>
      </c>
      <c r="G501" s="5" t="s">
        <v>1774</v>
      </c>
      <c r="H501" s="5" t="s">
        <v>1775</v>
      </c>
      <c r="I501" s="5" t="s">
        <v>1886</v>
      </c>
      <c r="J501" s="5" t="s">
        <v>1678</v>
      </c>
      <c r="K501" s="5" t="s">
        <v>1872</v>
      </c>
      <c r="L501" s="5" t="s">
        <v>1680</v>
      </c>
      <c r="M501" s="5" t="s">
        <v>1681</v>
      </c>
      <c r="N501" s="5" t="s">
        <v>1682</v>
      </c>
      <c r="O501" s="5" t="s">
        <v>1680</v>
      </c>
      <c r="P501" s="6">
        <v>45736.800000000003</v>
      </c>
      <c r="Q501" s="6">
        <v>59600</v>
      </c>
      <c r="R501" s="6">
        <v>0</v>
      </c>
      <c r="S501" s="6">
        <v>13863.2</v>
      </c>
      <c r="T501" s="6">
        <v>0</v>
      </c>
    </row>
    <row r="502" spans="1:20">
      <c r="A502" s="5" t="s">
        <v>1672</v>
      </c>
      <c r="B502" s="5" t="s">
        <v>1673</v>
      </c>
      <c r="C502" s="5" t="s">
        <v>1715</v>
      </c>
      <c r="D502" s="5" t="s">
        <v>325</v>
      </c>
      <c r="E502" s="5" t="s">
        <v>1776</v>
      </c>
      <c r="F502" s="5" t="s">
        <v>1777</v>
      </c>
      <c r="G502" s="5" t="s">
        <v>1778</v>
      </c>
      <c r="H502" s="5" t="s">
        <v>1779</v>
      </c>
      <c r="I502" s="5" t="s">
        <v>1886</v>
      </c>
      <c r="J502" s="5" t="s">
        <v>1678</v>
      </c>
      <c r="K502" s="5" t="s">
        <v>1872</v>
      </c>
      <c r="L502" s="5" t="s">
        <v>1680</v>
      </c>
      <c r="M502" s="5" t="s">
        <v>1681</v>
      </c>
      <c r="N502" s="5" t="s">
        <v>1682</v>
      </c>
      <c r="O502" s="5" t="s">
        <v>1680</v>
      </c>
      <c r="P502" s="6">
        <v>45736.800000000003</v>
      </c>
      <c r="Q502" s="6">
        <v>59600</v>
      </c>
      <c r="R502" s="6">
        <v>0</v>
      </c>
      <c r="S502" s="6">
        <v>13863.2</v>
      </c>
      <c r="T502" s="6">
        <v>0</v>
      </c>
    </row>
    <row r="503" spans="1:20">
      <c r="A503" s="5" t="s">
        <v>1672</v>
      </c>
      <c r="B503" s="5" t="s">
        <v>1673</v>
      </c>
      <c r="C503" s="5" t="s">
        <v>1715</v>
      </c>
      <c r="D503" s="5" t="s">
        <v>325</v>
      </c>
      <c r="E503" s="5" t="s">
        <v>1780</v>
      </c>
      <c r="F503" s="5" t="s">
        <v>1781</v>
      </c>
      <c r="G503" s="5" t="s">
        <v>1780</v>
      </c>
      <c r="H503" s="5" t="s">
        <v>1781</v>
      </c>
      <c r="I503" s="5" t="s">
        <v>1886</v>
      </c>
      <c r="J503" s="5" t="s">
        <v>1678</v>
      </c>
      <c r="K503" s="5" t="s">
        <v>1872</v>
      </c>
      <c r="L503" s="5" t="s">
        <v>1680</v>
      </c>
      <c r="M503" s="5" t="s">
        <v>1681</v>
      </c>
      <c r="N503" s="5" t="s">
        <v>1682</v>
      </c>
      <c r="O503" s="5" t="s">
        <v>1680</v>
      </c>
      <c r="P503" s="6">
        <v>45736.800000000003</v>
      </c>
      <c r="Q503" s="6">
        <v>59600</v>
      </c>
      <c r="R503" s="6">
        <v>0</v>
      </c>
      <c r="S503" s="6">
        <v>13863.2</v>
      </c>
      <c r="T503" s="6">
        <v>0</v>
      </c>
    </row>
    <row r="504" spans="1:20">
      <c r="A504" s="5" t="s">
        <v>1672</v>
      </c>
      <c r="B504" s="5" t="s">
        <v>1673</v>
      </c>
      <c r="C504" s="5" t="s">
        <v>1715</v>
      </c>
      <c r="D504" s="5" t="s">
        <v>325</v>
      </c>
      <c r="E504" s="5" t="s">
        <v>1782</v>
      </c>
      <c r="F504" s="5" t="s">
        <v>1783</v>
      </c>
      <c r="G504" s="5" t="s">
        <v>1782</v>
      </c>
      <c r="H504" s="5" t="s">
        <v>1783</v>
      </c>
      <c r="I504" s="5" t="s">
        <v>1886</v>
      </c>
      <c r="J504" s="5" t="s">
        <v>1678</v>
      </c>
      <c r="K504" s="5" t="s">
        <v>1872</v>
      </c>
      <c r="L504" s="5" t="s">
        <v>1680</v>
      </c>
      <c r="M504" s="5" t="s">
        <v>1681</v>
      </c>
      <c r="N504" s="5" t="s">
        <v>1682</v>
      </c>
      <c r="O504" s="5" t="s">
        <v>1680</v>
      </c>
      <c r="P504" s="6">
        <v>45736.800000000003</v>
      </c>
      <c r="Q504" s="6">
        <v>59600</v>
      </c>
      <c r="R504" s="6">
        <v>0</v>
      </c>
      <c r="S504" s="6">
        <v>13863.2</v>
      </c>
      <c r="T504" s="6">
        <v>0</v>
      </c>
    </row>
    <row r="505" spans="1:20">
      <c r="A505" s="5" t="s">
        <v>1672</v>
      </c>
      <c r="B505" s="5" t="s">
        <v>1673</v>
      </c>
      <c r="C505" s="5" t="s">
        <v>1715</v>
      </c>
      <c r="D505" s="5" t="s">
        <v>325</v>
      </c>
      <c r="E505" s="5" t="s">
        <v>1784</v>
      </c>
      <c r="F505" s="5" t="s">
        <v>1785</v>
      </c>
      <c r="G505" s="5" t="s">
        <v>1786</v>
      </c>
      <c r="H505" s="5" t="s">
        <v>1787</v>
      </c>
      <c r="I505" s="5" t="s">
        <v>1886</v>
      </c>
      <c r="J505" s="5" t="s">
        <v>1678</v>
      </c>
      <c r="K505" s="5" t="s">
        <v>1872</v>
      </c>
      <c r="L505" s="5" t="s">
        <v>1680</v>
      </c>
      <c r="M505" s="5" t="s">
        <v>1681</v>
      </c>
      <c r="N505" s="5" t="s">
        <v>1682</v>
      </c>
      <c r="O505" s="5" t="s">
        <v>1680</v>
      </c>
      <c r="P505" s="6">
        <v>45736.800000000003</v>
      </c>
      <c r="Q505" s="6">
        <v>59600</v>
      </c>
      <c r="R505" s="6">
        <v>0</v>
      </c>
      <c r="S505" s="6">
        <v>13863.2</v>
      </c>
      <c r="T505" s="6">
        <v>0</v>
      </c>
    </row>
    <row r="506" spans="1:20">
      <c r="A506" s="5" t="s">
        <v>1672</v>
      </c>
      <c r="B506" s="5" t="s">
        <v>1673</v>
      </c>
      <c r="C506" s="5" t="s">
        <v>1715</v>
      </c>
      <c r="D506" s="5" t="s">
        <v>325</v>
      </c>
      <c r="E506" s="5" t="s">
        <v>1788</v>
      </c>
      <c r="F506" s="5" t="s">
        <v>1789</v>
      </c>
      <c r="G506" s="5" t="s">
        <v>1790</v>
      </c>
      <c r="H506" s="5" t="s">
        <v>1791</v>
      </c>
      <c r="I506" s="5" t="s">
        <v>1886</v>
      </c>
      <c r="J506" s="5" t="s">
        <v>1678</v>
      </c>
      <c r="K506" s="5" t="s">
        <v>1872</v>
      </c>
      <c r="L506" s="5" t="s">
        <v>1680</v>
      </c>
      <c r="M506" s="5" t="s">
        <v>1681</v>
      </c>
      <c r="N506" s="5" t="s">
        <v>1682</v>
      </c>
      <c r="O506" s="5" t="s">
        <v>1680</v>
      </c>
      <c r="P506" s="6">
        <v>45736.800000000003</v>
      </c>
      <c r="Q506" s="6">
        <v>59600</v>
      </c>
      <c r="R506" s="6">
        <v>0</v>
      </c>
      <c r="S506" s="6">
        <v>13863.2</v>
      </c>
      <c r="T506" s="6">
        <v>0</v>
      </c>
    </row>
    <row r="507" spans="1:20">
      <c r="A507" s="5" t="s">
        <v>1672</v>
      </c>
      <c r="B507" s="5" t="s">
        <v>1673</v>
      </c>
      <c r="C507" s="5" t="s">
        <v>1715</v>
      </c>
      <c r="D507" s="5" t="s">
        <v>325</v>
      </c>
      <c r="E507" s="5" t="s">
        <v>1792</v>
      </c>
      <c r="F507" s="5" t="s">
        <v>1793</v>
      </c>
      <c r="G507" s="5" t="s">
        <v>1794</v>
      </c>
      <c r="H507" s="5" t="s">
        <v>1795</v>
      </c>
      <c r="I507" s="5" t="s">
        <v>1886</v>
      </c>
      <c r="J507" s="5" t="s">
        <v>1678</v>
      </c>
      <c r="K507" s="5" t="s">
        <v>1872</v>
      </c>
      <c r="L507" s="5" t="s">
        <v>1680</v>
      </c>
      <c r="M507" s="5" t="s">
        <v>1681</v>
      </c>
      <c r="N507" s="5" t="s">
        <v>1682</v>
      </c>
      <c r="O507" s="5" t="s">
        <v>1680</v>
      </c>
      <c r="P507" s="6">
        <v>45736.800000000003</v>
      </c>
      <c r="Q507" s="6">
        <v>59600</v>
      </c>
      <c r="R507" s="6">
        <v>0</v>
      </c>
      <c r="S507" s="6">
        <v>13863.2</v>
      </c>
      <c r="T507" s="6">
        <v>0</v>
      </c>
    </row>
    <row r="508" spans="1:20">
      <c r="A508" s="5" t="s">
        <v>1672</v>
      </c>
      <c r="B508" s="5" t="s">
        <v>1673</v>
      </c>
      <c r="C508" s="5" t="s">
        <v>1715</v>
      </c>
      <c r="D508" s="5" t="s">
        <v>325</v>
      </c>
      <c r="E508" s="5" t="s">
        <v>1796</v>
      </c>
      <c r="F508" s="5" t="s">
        <v>1797</v>
      </c>
      <c r="G508" s="5" t="s">
        <v>1796</v>
      </c>
      <c r="H508" s="5" t="s">
        <v>1797</v>
      </c>
      <c r="I508" s="5" t="s">
        <v>1886</v>
      </c>
      <c r="J508" s="5" t="s">
        <v>1678</v>
      </c>
      <c r="K508" s="5" t="s">
        <v>1872</v>
      </c>
      <c r="L508" s="5" t="s">
        <v>1680</v>
      </c>
      <c r="M508" s="5" t="s">
        <v>1681</v>
      </c>
      <c r="N508" s="5" t="s">
        <v>1682</v>
      </c>
      <c r="O508" s="5" t="s">
        <v>1680</v>
      </c>
      <c r="P508" s="6">
        <v>45736.800000000003</v>
      </c>
      <c r="Q508" s="6">
        <v>59600</v>
      </c>
      <c r="R508" s="6">
        <v>0</v>
      </c>
      <c r="S508" s="6">
        <v>13863.2</v>
      </c>
      <c r="T508" s="6">
        <v>0</v>
      </c>
    </row>
    <row r="509" spans="1:20">
      <c r="A509" s="5" t="s">
        <v>1672</v>
      </c>
      <c r="B509" s="5" t="s">
        <v>1673</v>
      </c>
      <c r="C509" s="5" t="s">
        <v>1715</v>
      </c>
      <c r="D509" s="5" t="s">
        <v>325</v>
      </c>
      <c r="E509" s="5" t="s">
        <v>1798</v>
      </c>
      <c r="F509" s="5" t="s">
        <v>1799</v>
      </c>
      <c r="G509" s="5" t="s">
        <v>1798</v>
      </c>
      <c r="H509" s="5" t="s">
        <v>1799</v>
      </c>
      <c r="I509" s="5" t="s">
        <v>1886</v>
      </c>
      <c r="J509" s="5" t="s">
        <v>1678</v>
      </c>
      <c r="K509" s="5" t="s">
        <v>1872</v>
      </c>
      <c r="L509" s="5" t="s">
        <v>1680</v>
      </c>
      <c r="M509" s="5" t="s">
        <v>1681</v>
      </c>
      <c r="N509" s="5" t="s">
        <v>1682</v>
      </c>
      <c r="O509" s="5" t="s">
        <v>1680</v>
      </c>
      <c r="P509" s="6">
        <v>45736.800000000003</v>
      </c>
      <c r="Q509" s="6">
        <v>59600</v>
      </c>
      <c r="R509" s="6">
        <v>0</v>
      </c>
      <c r="S509" s="6">
        <v>13863.2</v>
      </c>
      <c r="T509" s="6">
        <v>0</v>
      </c>
    </row>
    <row r="510" spans="1:20">
      <c r="A510" s="5" t="s">
        <v>1672</v>
      </c>
      <c r="B510" s="5" t="s">
        <v>1673</v>
      </c>
      <c r="C510" s="5" t="s">
        <v>1715</v>
      </c>
      <c r="D510" s="5" t="s">
        <v>325</v>
      </c>
      <c r="E510" s="5" t="s">
        <v>1800</v>
      </c>
      <c r="F510" s="5" t="s">
        <v>1801</v>
      </c>
      <c r="G510" s="5" t="s">
        <v>1800</v>
      </c>
      <c r="H510" s="5" t="s">
        <v>1801</v>
      </c>
      <c r="I510" s="5" t="s">
        <v>1886</v>
      </c>
      <c r="J510" s="5" t="s">
        <v>1678</v>
      </c>
      <c r="K510" s="5" t="s">
        <v>1872</v>
      </c>
      <c r="L510" s="5" t="s">
        <v>1680</v>
      </c>
      <c r="M510" s="5" t="s">
        <v>1681</v>
      </c>
      <c r="N510" s="5" t="s">
        <v>1682</v>
      </c>
      <c r="O510" s="5" t="s">
        <v>1680</v>
      </c>
      <c r="P510" s="6">
        <v>45736.800000000003</v>
      </c>
      <c r="Q510" s="6">
        <v>59600</v>
      </c>
      <c r="R510" s="6">
        <v>0</v>
      </c>
      <c r="S510" s="6">
        <v>13863.2</v>
      </c>
      <c r="T510" s="6">
        <v>0</v>
      </c>
    </row>
    <row r="511" spans="1:20">
      <c r="A511" s="5" t="s">
        <v>1672</v>
      </c>
      <c r="B511" s="5" t="s">
        <v>1673</v>
      </c>
      <c r="C511" s="5" t="s">
        <v>1715</v>
      </c>
      <c r="D511" s="5" t="s">
        <v>325</v>
      </c>
      <c r="E511" s="5" t="s">
        <v>1802</v>
      </c>
      <c r="F511" s="5" t="s">
        <v>1803</v>
      </c>
      <c r="G511" s="5" t="s">
        <v>1804</v>
      </c>
      <c r="H511" s="5" t="s">
        <v>1805</v>
      </c>
      <c r="I511" s="5" t="s">
        <v>1886</v>
      </c>
      <c r="J511" s="5" t="s">
        <v>1678</v>
      </c>
      <c r="K511" s="5" t="s">
        <v>1872</v>
      </c>
      <c r="L511" s="5" t="s">
        <v>1680</v>
      </c>
      <c r="M511" s="5" t="s">
        <v>1681</v>
      </c>
      <c r="N511" s="5" t="s">
        <v>1682</v>
      </c>
      <c r="O511" s="5" t="s">
        <v>1680</v>
      </c>
      <c r="P511" s="6">
        <v>45736.800000000003</v>
      </c>
      <c r="Q511" s="6">
        <v>59600</v>
      </c>
      <c r="R511" s="6">
        <v>0</v>
      </c>
      <c r="S511" s="6">
        <v>13863.2</v>
      </c>
      <c r="T511" s="6">
        <v>0</v>
      </c>
    </row>
    <row r="512" spans="1:20">
      <c r="A512" s="5" t="s">
        <v>1672</v>
      </c>
      <c r="B512" s="5" t="s">
        <v>1673</v>
      </c>
      <c r="C512" s="5" t="s">
        <v>1715</v>
      </c>
      <c r="D512" s="5" t="s">
        <v>325</v>
      </c>
      <c r="E512" s="5" t="s">
        <v>1806</v>
      </c>
      <c r="F512" s="5" t="s">
        <v>1807</v>
      </c>
      <c r="G512" s="5" t="s">
        <v>1808</v>
      </c>
      <c r="H512" s="5" t="s">
        <v>1809</v>
      </c>
      <c r="I512" s="5" t="s">
        <v>1886</v>
      </c>
      <c r="J512" s="5" t="s">
        <v>1678</v>
      </c>
      <c r="K512" s="5" t="s">
        <v>1872</v>
      </c>
      <c r="L512" s="5" t="s">
        <v>1680</v>
      </c>
      <c r="M512" s="5" t="s">
        <v>1681</v>
      </c>
      <c r="N512" s="5" t="s">
        <v>1682</v>
      </c>
      <c r="O512" s="5" t="s">
        <v>1680</v>
      </c>
      <c r="P512" s="6">
        <v>45736.800000000003</v>
      </c>
      <c r="Q512" s="6">
        <v>59600</v>
      </c>
      <c r="R512" s="6">
        <v>0</v>
      </c>
      <c r="S512" s="6">
        <v>13863.2</v>
      </c>
      <c r="T512" s="6">
        <v>0</v>
      </c>
    </row>
    <row r="513" spans="1:20">
      <c r="A513" s="5" t="s">
        <v>1672</v>
      </c>
      <c r="B513" s="5" t="s">
        <v>1673</v>
      </c>
      <c r="C513" s="5" t="s">
        <v>1715</v>
      </c>
      <c r="D513" s="5" t="s">
        <v>325</v>
      </c>
      <c r="E513" s="5" t="s">
        <v>1810</v>
      </c>
      <c r="F513" s="5" t="s">
        <v>1811</v>
      </c>
      <c r="G513" s="5" t="s">
        <v>1812</v>
      </c>
      <c r="H513" s="5" t="s">
        <v>1813</v>
      </c>
      <c r="I513" s="5" t="s">
        <v>1886</v>
      </c>
      <c r="J513" s="5" t="s">
        <v>1678</v>
      </c>
      <c r="K513" s="5" t="s">
        <v>1872</v>
      </c>
      <c r="L513" s="5" t="s">
        <v>1680</v>
      </c>
      <c r="M513" s="5" t="s">
        <v>1681</v>
      </c>
      <c r="N513" s="5" t="s">
        <v>1682</v>
      </c>
      <c r="O513" s="5" t="s">
        <v>1680</v>
      </c>
      <c r="P513" s="6">
        <v>45736.800000000003</v>
      </c>
      <c r="Q513" s="6">
        <v>59600</v>
      </c>
      <c r="R513" s="6">
        <v>0</v>
      </c>
      <c r="S513" s="6">
        <v>13863.2</v>
      </c>
      <c r="T513" s="6">
        <v>0</v>
      </c>
    </row>
    <row r="514" spans="1:20">
      <c r="A514" s="5" t="s">
        <v>1672</v>
      </c>
      <c r="B514" s="5" t="s">
        <v>1673</v>
      </c>
      <c r="C514" s="5" t="s">
        <v>1715</v>
      </c>
      <c r="D514" s="5" t="s">
        <v>325</v>
      </c>
      <c r="E514" s="5" t="s">
        <v>1814</v>
      </c>
      <c r="F514" s="5" t="s">
        <v>1815</v>
      </c>
      <c r="G514" s="5" t="s">
        <v>1814</v>
      </c>
      <c r="H514" s="5" t="s">
        <v>1815</v>
      </c>
      <c r="I514" s="5" t="s">
        <v>1886</v>
      </c>
      <c r="J514" s="5" t="s">
        <v>1678</v>
      </c>
      <c r="K514" s="5" t="s">
        <v>1872</v>
      </c>
      <c r="L514" s="5" t="s">
        <v>1680</v>
      </c>
      <c r="M514" s="5" t="s">
        <v>1681</v>
      </c>
      <c r="N514" s="5" t="s">
        <v>1682</v>
      </c>
      <c r="O514" s="5" t="s">
        <v>1680</v>
      </c>
      <c r="P514" s="6">
        <v>45736.800000000003</v>
      </c>
      <c r="Q514" s="6">
        <v>59600</v>
      </c>
      <c r="R514" s="6">
        <v>0</v>
      </c>
      <c r="S514" s="6">
        <v>13863.2</v>
      </c>
      <c r="T514" s="6">
        <v>0</v>
      </c>
    </row>
    <row r="515" spans="1:20">
      <c r="A515" s="5" t="s">
        <v>1672</v>
      </c>
      <c r="B515" s="5" t="s">
        <v>1673</v>
      </c>
      <c r="C515" s="5" t="s">
        <v>1715</v>
      </c>
      <c r="D515" s="5" t="s">
        <v>325</v>
      </c>
      <c r="E515" s="5" t="s">
        <v>1816</v>
      </c>
      <c r="F515" s="5" t="s">
        <v>1817</v>
      </c>
      <c r="G515" s="5" t="s">
        <v>1818</v>
      </c>
      <c r="H515" s="5" t="s">
        <v>1819</v>
      </c>
      <c r="I515" s="5" t="s">
        <v>1886</v>
      </c>
      <c r="J515" s="5" t="s">
        <v>1678</v>
      </c>
      <c r="K515" s="5" t="s">
        <v>1872</v>
      </c>
      <c r="L515" s="5" t="s">
        <v>1680</v>
      </c>
      <c r="M515" s="5" t="s">
        <v>1681</v>
      </c>
      <c r="N515" s="5" t="s">
        <v>1682</v>
      </c>
      <c r="O515" s="5" t="s">
        <v>1680</v>
      </c>
      <c r="P515" s="6">
        <v>45736.800000000003</v>
      </c>
      <c r="Q515" s="6">
        <v>59600</v>
      </c>
      <c r="R515" s="6">
        <v>0</v>
      </c>
      <c r="S515" s="6">
        <v>13863.2</v>
      </c>
      <c r="T515" s="6">
        <v>0</v>
      </c>
    </row>
    <row r="516" spans="1:20">
      <c r="A516" s="5" t="s">
        <v>1672</v>
      </c>
      <c r="B516" s="5" t="s">
        <v>1673</v>
      </c>
      <c r="C516" s="5" t="s">
        <v>1715</v>
      </c>
      <c r="D516" s="5" t="s">
        <v>325</v>
      </c>
      <c r="E516" s="5" t="s">
        <v>1820</v>
      </c>
      <c r="F516" s="5" t="s">
        <v>1821</v>
      </c>
      <c r="G516" s="5" t="s">
        <v>1822</v>
      </c>
      <c r="H516" s="5" t="s">
        <v>1823</v>
      </c>
      <c r="I516" s="5" t="s">
        <v>1886</v>
      </c>
      <c r="J516" s="5" t="s">
        <v>1678</v>
      </c>
      <c r="K516" s="5" t="s">
        <v>1872</v>
      </c>
      <c r="L516" s="5" t="s">
        <v>1680</v>
      </c>
      <c r="M516" s="5" t="s">
        <v>1681</v>
      </c>
      <c r="N516" s="5" t="s">
        <v>1682</v>
      </c>
      <c r="O516" s="5" t="s">
        <v>1680</v>
      </c>
      <c r="P516" s="6">
        <v>45736.800000000003</v>
      </c>
      <c r="Q516" s="6">
        <v>59600</v>
      </c>
      <c r="R516" s="6">
        <v>0</v>
      </c>
      <c r="S516" s="6">
        <v>13863.2</v>
      </c>
      <c r="T516" s="6">
        <v>0</v>
      </c>
    </row>
    <row r="517" spans="1:20">
      <c r="A517" s="5" t="s">
        <v>1672</v>
      </c>
      <c r="B517" s="5" t="s">
        <v>1673</v>
      </c>
      <c r="C517" s="5" t="s">
        <v>1715</v>
      </c>
      <c r="D517" s="5" t="s">
        <v>325</v>
      </c>
      <c r="E517" s="5" t="s">
        <v>1824</v>
      </c>
      <c r="F517" s="5" t="s">
        <v>1825</v>
      </c>
      <c r="G517" s="5" t="s">
        <v>1826</v>
      </c>
      <c r="H517" s="5" t="s">
        <v>1827</v>
      </c>
      <c r="I517" s="5" t="s">
        <v>1886</v>
      </c>
      <c r="J517" s="5" t="s">
        <v>1678</v>
      </c>
      <c r="K517" s="5" t="s">
        <v>1872</v>
      </c>
      <c r="L517" s="5" t="s">
        <v>1680</v>
      </c>
      <c r="M517" s="5" t="s">
        <v>1681</v>
      </c>
      <c r="N517" s="5" t="s">
        <v>1682</v>
      </c>
      <c r="O517" s="5" t="s">
        <v>1680</v>
      </c>
      <c r="P517" s="6">
        <v>45736.800000000003</v>
      </c>
      <c r="Q517" s="6">
        <v>59600</v>
      </c>
      <c r="R517" s="6">
        <v>0</v>
      </c>
      <c r="S517" s="6">
        <v>13863.2</v>
      </c>
      <c r="T517" s="6">
        <v>0</v>
      </c>
    </row>
    <row r="518" spans="1:20">
      <c r="A518" s="5" t="s">
        <v>1672</v>
      </c>
      <c r="B518" s="5" t="s">
        <v>1673</v>
      </c>
      <c r="C518" s="5" t="s">
        <v>1715</v>
      </c>
      <c r="D518" s="5" t="s">
        <v>325</v>
      </c>
      <c r="E518" s="5" t="s">
        <v>1828</v>
      </c>
      <c r="F518" s="5" t="s">
        <v>1829</v>
      </c>
      <c r="G518" s="5" t="s">
        <v>1828</v>
      </c>
      <c r="H518" s="5" t="s">
        <v>1829</v>
      </c>
      <c r="I518" s="5" t="s">
        <v>1886</v>
      </c>
      <c r="J518" s="5" t="s">
        <v>1678</v>
      </c>
      <c r="K518" s="5" t="s">
        <v>1872</v>
      </c>
      <c r="L518" s="5" t="s">
        <v>1680</v>
      </c>
      <c r="M518" s="5" t="s">
        <v>1681</v>
      </c>
      <c r="N518" s="5" t="s">
        <v>1682</v>
      </c>
      <c r="O518" s="5" t="s">
        <v>1680</v>
      </c>
      <c r="P518" s="6">
        <v>45736.800000000003</v>
      </c>
      <c r="Q518" s="6">
        <v>59600</v>
      </c>
      <c r="R518" s="6">
        <v>0</v>
      </c>
      <c r="S518" s="6">
        <v>13863.2</v>
      </c>
      <c r="T518" s="6">
        <v>0</v>
      </c>
    </row>
    <row r="519" spans="1:20">
      <c r="A519" s="5" t="s">
        <v>1672</v>
      </c>
      <c r="B519" s="5" t="s">
        <v>1673</v>
      </c>
      <c r="C519" s="5" t="s">
        <v>1715</v>
      </c>
      <c r="D519" s="5" t="s">
        <v>325</v>
      </c>
      <c r="E519" s="5" t="s">
        <v>1830</v>
      </c>
      <c r="F519" s="5" t="s">
        <v>1831</v>
      </c>
      <c r="G519" s="5" t="s">
        <v>1830</v>
      </c>
      <c r="H519" s="5" t="s">
        <v>1831</v>
      </c>
      <c r="I519" s="5" t="s">
        <v>1886</v>
      </c>
      <c r="J519" s="5" t="s">
        <v>1678</v>
      </c>
      <c r="K519" s="5" t="s">
        <v>1872</v>
      </c>
      <c r="L519" s="5" t="s">
        <v>1680</v>
      </c>
      <c r="M519" s="5" t="s">
        <v>1681</v>
      </c>
      <c r="N519" s="5" t="s">
        <v>1682</v>
      </c>
      <c r="O519" s="5" t="s">
        <v>1680</v>
      </c>
      <c r="P519" s="6">
        <v>45736.800000000003</v>
      </c>
      <c r="Q519" s="6">
        <v>59600</v>
      </c>
      <c r="R519" s="6">
        <v>0</v>
      </c>
      <c r="S519" s="6">
        <v>13863.2</v>
      </c>
      <c r="T519" s="6">
        <v>0</v>
      </c>
    </row>
    <row r="520" spans="1:20">
      <c r="A520" s="5" t="s">
        <v>1672</v>
      </c>
      <c r="B520" s="5" t="s">
        <v>1673</v>
      </c>
      <c r="C520" s="5" t="s">
        <v>1715</v>
      </c>
      <c r="D520" s="5" t="s">
        <v>325</v>
      </c>
      <c r="E520" s="5" t="s">
        <v>1832</v>
      </c>
      <c r="F520" s="5" t="s">
        <v>1833</v>
      </c>
      <c r="G520" s="5" t="s">
        <v>1834</v>
      </c>
      <c r="H520" s="5" t="s">
        <v>1835</v>
      </c>
      <c r="I520" s="5" t="s">
        <v>1886</v>
      </c>
      <c r="J520" s="5" t="s">
        <v>1678</v>
      </c>
      <c r="K520" s="5" t="s">
        <v>1872</v>
      </c>
      <c r="L520" s="5" t="s">
        <v>1680</v>
      </c>
      <c r="M520" s="5" t="s">
        <v>1681</v>
      </c>
      <c r="N520" s="5" t="s">
        <v>1682</v>
      </c>
      <c r="O520" s="5" t="s">
        <v>1680</v>
      </c>
      <c r="P520" s="6">
        <v>45736.800000000003</v>
      </c>
      <c r="Q520" s="6">
        <v>59600</v>
      </c>
      <c r="R520" s="6">
        <v>0</v>
      </c>
      <c r="S520" s="6">
        <v>13863.2</v>
      </c>
      <c r="T520" s="6">
        <v>0</v>
      </c>
    </row>
    <row r="521" spans="1:20">
      <c r="A521" s="5" t="s">
        <v>1672</v>
      </c>
      <c r="B521" s="5" t="s">
        <v>1673</v>
      </c>
      <c r="C521" s="5" t="s">
        <v>1715</v>
      </c>
      <c r="D521" s="5" t="s">
        <v>325</v>
      </c>
      <c r="E521" s="5" t="s">
        <v>1836</v>
      </c>
      <c r="F521" s="5" t="s">
        <v>1837</v>
      </c>
      <c r="G521" s="5" t="s">
        <v>1836</v>
      </c>
      <c r="H521" s="5" t="s">
        <v>1837</v>
      </c>
      <c r="I521" s="5" t="s">
        <v>1886</v>
      </c>
      <c r="J521" s="5" t="s">
        <v>1678</v>
      </c>
      <c r="K521" s="5" t="s">
        <v>1872</v>
      </c>
      <c r="L521" s="5" t="s">
        <v>1680</v>
      </c>
      <c r="M521" s="5" t="s">
        <v>1681</v>
      </c>
      <c r="N521" s="5" t="s">
        <v>1682</v>
      </c>
      <c r="O521" s="5" t="s">
        <v>1680</v>
      </c>
      <c r="P521" s="6">
        <v>45736.800000000003</v>
      </c>
      <c r="Q521" s="6">
        <v>59600</v>
      </c>
      <c r="R521" s="6">
        <v>0</v>
      </c>
      <c r="S521" s="6">
        <v>13863.2</v>
      </c>
      <c r="T521" s="6">
        <v>0</v>
      </c>
    </row>
    <row r="522" spans="1:20">
      <c r="A522" s="5" t="s">
        <v>1672</v>
      </c>
      <c r="B522" s="5" t="s">
        <v>1673</v>
      </c>
      <c r="C522" s="5" t="s">
        <v>1715</v>
      </c>
      <c r="D522" s="5" t="s">
        <v>325</v>
      </c>
      <c r="E522" s="5" t="s">
        <v>1838</v>
      </c>
      <c r="F522" s="5" t="s">
        <v>1839</v>
      </c>
      <c r="G522" s="5" t="s">
        <v>1840</v>
      </c>
      <c r="H522" s="5" t="s">
        <v>1841</v>
      </c>
      <c r="I522" s="5" t="s">
        <v>1886</v>
      </c>
      <c r="J522" s="5" t="s">
        <v>1678</v>
      </c>
      <c r="K522" s="5" t="s">
        <v>1872</v>
      </c>
      <c r="L522" s="5" t="s">
        <v>1680</v>
      </c>
      <c r="M522" s="5" t="s">
        <v>1681</v>
      </c>
      <c r="N522" s="5" t="s">
        <v>1682</v>
      </c>
      <c r="O522" s="5" t="s">
        <v>1680</v>
      </c>
      <c r="P522" s="6">
        <v>45736.800000000003</v>
      </c>
      <c r="Q522" s="6">
        <v>59600</v>
      </c>
      <c r="R522" s="6">
        <v>0</v>
      </c>
      <c r="S522" s="6">
        <v>13863.2</v>
      </c>
      <c r="T522" s="6">
        <v>0</v>
      </c>
    </row>
    <row r="523" spans="1:20">
      <c r="A523" s="5" t="s">
        <v>1672</v>
      </c>
      <c r="B523" s="5" t="s">
        <v>1673</v>
      </c>
      <c r="C523" s="5" t="s">
        <v>1674</v>
      </c>
      <c r="D523" s="5" t="s">
        <v>2</v>
      </c>
      <c r="E523" s="5" t="s">
        <v>1675</v>
      </c>
      <c r="F523" s="5" t="s">
        <v>1676</v>
      </c>
      <c r="G523" s="5" t="s">
        <v>1675</v>
      </c>
      <c r="H523" s="5" t="s">
        <v>1676</v>
      </c>
      <c r="I523" s="5" t="s">
        <v>1887</v>
      </c>
      <c r="J523" s="5" t="s">
        <v>1678</v>
      </c>
      <c r="K523" s="5" t="s">
        <v>1872</v>
      </c>
      <c r="L523" s="5" t="s">
        <v>1680</v>
      </c>
      <c r="M523" s="5" t="s">
        <v>1681</v>
      </c>
      <c r="N523" s="5" t="s">
        <v>1682</v>
      </c>
      <c r="O523" s="5" t="s">
        <v>1680</v>
      </c>
      <c r="P523" s="6">
        <v>25557.9</v>
      </c>
      <c r="Q523" s="6">
        <v>39465</v>
      </c>
      <c r="R523" s="6">
        <v>0</v>
      </c>
      <c r="S523" s="6">
        <v>13907.1</v>
      </c>
      <c r="T523" s="6">
        <v>0</v>
      </c>
    </row>
    <row r="524" spans="1:20">
      <c r="A524" s="5" t="s">
        <v>1672</v>
      </c>
      <c r="B524" s="5" t="s">
        <v>1673</v>
      </c>
      <c r="C524" s="5" t="s">
        <v>1674</v>
      </c>
      <c r="D524" s="5" t="s">
        <v>2</v>
      </c>
      <c r="E524" s="5" t="s">
        <v>1683</v>
      </c>
      <c r="F524" s="5" t="s">
        <v>1684</v>
      </c>
      <c r="G524" s="5" t="s">
        <v>1683</v>
      </c>
      <c r="H524" s="5" t="s">
        <v>1684</v>
      </c>
      <c r="I524" s="5" t="s">
        <v>1887</v>
      </c>
      <c r="J524" s="5" t="s">
        <v>1678</v>
      </c>
      <c r="K524" s="5" t="s">
        <v>1872</v>
      </c>
      <c r="L524" s="5" t="s">
        <v>1680</v>
      </c>
      <c r="M524" s="5" t="s">
        <v>1681</v>
      </c>
      <c r="N524" s="5" t="s">
        <v>1682</v>
      </c>
      <c r="O524" s="5" t="s">
        <v>1680</v>
      </c>
      <c r="P524" s="6">
        <v>25557.9</v>
      </c>
      <c r="Q524" s="6">
        <v>39465</v>
      </c>
      <c r="R524" s="6">
        <v>0</v>
      </c>
      <c r="S524" s="6">
        <v>13907.1</v>
      </c>
      <c r="T524" s="6">
        <v>0</v>
      </c>
    </row>
    <row r="525" spans="1:20">
      <c r="A525" s="5" t="s">
        <v>1672</v>
      </c>
      <c r="B525" s="5" t="s">
        <v>1673</v>
      </c>
      <c r="C525" s="5" t="s">
        <v>1674</v>
      </c>
      <c r="D525" s="5" t="s">
        <v>2</v>
      </c>
      <c r="E525" s="5" t="s">
        <v>1685</v>
      </c>
      <c r="F525" s="5" t="s">
        <v>1686</v>
      </c>
      <c r="G525" s="5" t="s">
        <v>1685</v>
      </c>
      <c r="H525" s="5" t="s">
        <v>1686</v>
      </c>
      <c r="I525" s="5" t="s">
        <v>1887</v>
      </c>
      <c r="J525" s="5" t="s">
        <v>1678</v>
      </c>
      <c r="K525" s="5" t="s">
        <v>1872</v>
      </c>
      <c r="L525" s="5" t="s">
        <v>1680</v>
      </c>
      <c r="M525" s="5" t="s">
        <v>1681</v>
      </c>
      <c r="N525" s="5" t="s">
        <v>1682</v>
      </c>
      <c r="O525" s="5" t="s">
        <v>1680</v>
      </c>
      <c r="P525" s="6">
        <v>25557.9</v>
      </c>
      <c r="Q525" s="6">
        <v>39465</v>
      </c>
      <c r="R525" s="6">
        <v>0</v>
      </c>
      <c r="S525" s="6">
        <v>13907.1</v>
      </c>
      <c r="T525" s="6">
        <v>0</v>
      </c>
    </row>
    <row r="526" spans="1:20">
      <c r="A526" s="5" t="s">
        <v>1672</v>
      </c>
      <c r="B526" s="5" t="s">
        <v>1673</v>
      </c>
      <c r="C526" s="5" t="s">
        <v>1674</v>
      </c>
      <c r="D526" s="5" t="s">
        <v>2</v>
      </c>
      <c r="E526" s="5" t="s">
        <v>1687</v>
      </c>
      <c r="F526" s="5" t="s">
        <v>1688</v>
      </c>
      <c r="G526" s="5" t="s">
        <v>1687</v>
      </c>
      <c r="H526" s="5" t="s">
        <v>1688</v>
      </c>
      <c r="I526" s="5" t="s">
        <v>1887</v>
      </c>
      <c r="J526" s="5" t="s">
        <v>1678</v>
      </c>
      <c r="K526" s="5" t="s">
        <v>1872</v>
      </c>
      <c r="L526" s="5" t="s">
        <v>1680</v>
      </c>
      <c r="M526" s="5" t="s">
        <v>1681</v>
      </c>
      <c r="N526" s="5" t="s">
        <v>1682</v>
      </c>
      <c r="O526" s="5" t="s">
        <v>1680</v>
      </c>
      <c r="P526" s="6">
        <v>25557.9</v>
      </c>
      <c r="Q526" s="6">
        <v>39465</v>
      </c>
      <c r="R526" s="6">
        <v>0</v>
      </c>
      <c r="S526" s="6">
        <v>13907.1</v>
      </c>
      <c r="T526" s="6">
        <v>0</v>
      </c>
    </row>
    <row r="527" spans="1:20">
      <c r="A527" s="5" t="s">
        <v>1672</v>
      </c>
      <c r="B527" s="5" t="s">
        <v>1673</v>
      </c>
      <c r="C527" s="5" t="s">
        <v>1674</v>
      </c>
      <c r="D527" s="5" t="s">
        <v>2</v>
      </c>
      <c r="E527" s="5" t="s">
        <v>1689</v>
      </c>
      <c r="F527" s="5" t="s">
        <v>1690</v>
      </c>
      <c r="G527" s="5" t="s">
        <v>1689</v>
      </c>
      <c r="H527" s="5" t="s">
        <v>1690</v>
      </c>
      <c r="I527" s="5" t="s">
        <v>1887</v>
      </c>
      <c r="J527" s="5" t="s">
        <v>1678</v>
      </c>
      <c r="K527" s="5" t="s">
        <v>1872</v>
      </c>
      <c r="L527" s="5" t="s">
        <v>1680</v>
      </c>
      <c r="M527" s="5" t="s">
        <v>1681</v>
      </c>
      <c r="N527" s="5" t="s">
        <v>1682</v>
      </c>
      <c r="O527" s="5" t="s">
        <v>1680</v>
      </c>
      <c r="P527" s="6">
        <v>25557.9</v>
      </c>
      <c r="Q527" s="6">
        <v>39465</v>
      </c>
      <c r="R527" s="6">
        <v>0</v>
      </c>
      <c r="S527" s="6">
        <v>13907.1</v>
      </c>
      <c r="T527" s="6">
        <v>0</v>
      </c>
    </row>
    <row r="528" spans="1:20">
      <c r="A528" s="5" t="s">
        <v>1672</v>
      </c>
      <c r="B528" s="5" t="s">
        <v>1673</v>
      </c>
      <c r="C528" s="5" t="s">
        <v>1674</v>
      </c>
      <c r="D528" s="5" t="s">
        <v>2</v>
      </c>
      <c r="E528" s="5" t="s">
        <v>1691</v>
      </c>
      <c r="F528" s="5" t="s">
        <v>1692</v>
      </c>
      <c r="G528" s="5" t="s">
        <v>1693</v>
      </c>
      <c r="H528" s="5" t="s">
        <v>1694</v>
      </c>
      <c r="I528" s="5" t="s">
        <v>1887</v>
      </c>
      <c r="J528" s="5" t="s">
        <v>1678</v>
      </c>
      <c r="K528" s="5" t="s">
        <v>1872</v>
      </c>
      <c r="L528" s="5" t="s">
        <v>1680</v>
      </c>
      <c r="M528" s="5" t="s">
        <v>1681</v>
      </c>
      <c r="N528" s="5" t="s">
        <v>1682</v>
      </c>
      <c r="O528" s="5" t="s">
        <v>1680</v>
      </c>
      <c r="P528" s="6">
        <v>25557.9</v>
      </c>
      <c r="Q528" s="6">
        <v>39465</v>
      </c>
      <c r="R528" s="6">
        <v>0</v>
      </c>
      <c r="S528" s="6">
        <v>13907.1</v>
      </c>
      <c r="T528" s="6">
        <v>0</v>
      </c>
    </row>
    <row r="529" spans="1:20">
      <c r="A529" s="5" t="s">
        <v>1672</v>
      </c>
      <c r="B529" s="5" t="s">
        <v>1673</v>
      </c>
      <c r="C529" s="5" t="s">
        <v>1674</v>
      </c>
      <c r="D529" s="5" t="s">
        <v>2</v>
      </c>
      <c r="E529" s="5" t="s">
        <v>1695</v>
      </c>
      <c r="F529" s="5" t="s">
        <v>1696</v>
      </c>
      <c r="G529" s="5" t="s">
        <v>1697</v>
      </c>
      <c r="H529" s="5" t="s">
        <v>1698</v>
      </c>
      <c r="I529" s="5" t="s">
        <v>1887</v>
      </c>
      <c r="J529" s="5" t="s">
        <v>1678</v>
      </c>
      <c r="K529" s="5" t="s">
        <v>1872</v>
      </c>
      <c r="L529" s="5" t="s">
        <v>1680</v>
      </c>
      <c r="M529" s="5" t="s">
        <v>1681</v>
      </c>
      <c r="N529" s="5" t="s">
        <v>1682</v>
      </c>
      <c r="O529" s="5" t="s">
        <v>1680</v>
      </c>
      <c r="P529" s="6">
        <v>25557.9</v>
      </c>
      <c r="Q529" s="6">
        <v>39465</v>
      </c>
      <c r="R529" s="6">
        <v>0</v>
      </c>
      <c r="S529" s="6">
        <v>13907.1</v>
      </c>
      <c r="T529" s="6">
        <v>0</v>
      </c>
    </row>
    <row r="530" spans="1:20">
      <c r="A530" s="5" t="s">
        <v>1672</v>
      </c>
      <c r="B530" s="5" t="s">
        <v>1673</v>
      </c>
      <c r="C530" s="5" t="s">
        <v>1674</v>
      </c>
      <c r="D530" s="5" t="s">
        <v>2</v>
      </c>
      <c r="E530" s="5" t="s">
        <v>1699</v>
      </c>
      <c r="F530" s="5" t="s">
        <v>1700</v>
      </c>
      <c r="G530" s="5" t="s">
        <v>1699</v>
      </c>
      <c r="H530" s="5" t="s">
        <v>1700</v>
      </c>
      <c r="I530" s="5" t="s">
        <v>1887</v>
      </c>
      <c r="J530" s="5" t="s">
        <v>1678</v>
      </c>
      <c r="K530" s="5" t="s">
        <v>1872</v>
      </c>
      <c r="L530" s="5" t="s">
        <v>1680</v>
      </c>
      <c r="M530" s="5" t="s">
        <v>1681</v>
      </c>
      <c r="N530" s="5" t="s">
        <v>1682</v>
      </c>
      <c r="O530" s="5" t="s">
        <v>1680</v>
      </c>
      <c r="P530" s="6">
        <v>25557.9</v>
      </c>
      <c r="Q530" s="6">
        <v>39465</v>
      </c>
      <c r="R530" s="6">
        <v>0</v>
      </c>
      <c r="S530" s="6">
        <v>13907.1</v>
      </c>
      <c r="T530" s="6">
        <v>0</v>
      </c>
    </row>
    <row r="531" spans="1:20">
      <c r="A531" s="5" t="s">
        <v>1672</v>
      </c>
      <c r="B531" s="5" t="s">
        <v>1673</v>
      </c>
      <c r="C531" s="5" t="s">
        <v>1674</v>
      </c>
      <c r="D531" s="5" t="s">
        <v>2</v>
      </c>
      <c r="E531" s="5" t="s">
        <v>1701</v>
      </c>
      <c r="F531" s="5" t="s">
        <v>1702</v>
      </c>
      <c r="G531" s="5" t="s">
        <v>1701</v>
      </c>
      <c r="H531" s="5" t="s">
        <v>1702</v>
      </c>
      <c r="I531" s="5" t="s">
        <v>1887</v>
      </c>
      <c r="J531" s="5" t="s">
        <v>1678</v>
      </c>
      <c r="K531" s="5" t="s">
        <v>1872</v>
      </c>
      <c r="L531" s="5" t="s">
        <v>1680</v>
      </c>
      <c r="M531" s="5" t="s">
        <v>1681</v>
      </c>
      <c r="N531" s="5" t="s">
        <v>1682</v>
      </c>
      <c r="O531" s="5" t="s">
        <v>1680</v>
      </c>
      <c r="P531" s="6">
        <v>25557.9</v>
      </c>
      <c r="Q531" s="6">
        <v>39465</v>
      </c>
      <c r="R531" s="6">
        <v>0</v>
      </c>
      <c r="S531" s="6">
        <v>13907.1</v>
      </c>
      <c r="T531" s="6">
        <v>0</v>
      </c>
    </row>
    <row r="532" spans="1:20">
      <c r="A532" s="5" t="s">
        <v>1672</v>
      </c>
      <c r="B532" s="5" t="s">
        <v>1673</v>
      </c>
      <c r="C532" s="5" t="s">
        <v>1674</v>
      </c>
      <c r="D532" s="5" t="s">
        <v>2</v>
      </c>
      <c r="E532" s="5" t="s">
        <v>1703</v>
      </c>
      <c r="F532" s="5" t="s">
        <v>1704</v>
      </c>
      <c r="G532" s="5" t="s">
        <v>1705</v>
      </c>
      <c r="H532" s="5" t="s">
        <v>1706</v>
      </c>
      <c r="I532" s="5" t="s">
        <v>1887</v>
      </c>
      <c r="J532" s="5" t="s">
        <v>1678</v>
      </c>
      <c r="K532" s="5" t="s">
        <v>1872</v>
      </c>
      <c r="L532" s="5" t="s">
        <v>1680</v>
      </c>
      <c r="M532" s="5" t="s">
        <v>1681</v>
      </c>
      <c r="N532" s="5" t="s">
        <v>1682</v>
      </c>
      <c r="O532" s="5" t="s">
        <v>1680</v>
      </c>
      <c r="P532" s="6">
        <v>25557.9</v>
      </c>
      <c r="Q532" s="6">
        <v>39465</v>
      </c>
      <c r="R532" s="6">
        <v>0</v>
      </c>
      <c r="S532" s="6">
        <v>13907.1</v>
      </c>
      <c r="T532" s="6">
        <v>0</v>
      </c>
    </row>
    <row r="533" spans="1:20">
      <c r="A533" s="5" t="s">
        <v>1672</v>
      </c>
      <c r="B533" s="5" t="s">
        <v>1673</v>
      </c>
      <c r="C533" s="5" t="s">
        <v>1674</v>
      </c>
      <c r="D533" s="5" t="s">
        <v>2</v>
      </c>
      <c r="E533" s="5" t="s">
        <v>1707</v>
      </c>
      <c r="F533" s="5" t="s">
        <v>1708</v>
      </c>
      <c r="G533" s="5" t="s">
        <v>1707</v>
      </c>
      <c r="H533" s="5" t="s">
        <v>1708</v>
      </c>
      <c r="I533" s="5" t="s">
        <v>1887</v>
      </c>
      <c r="J533" s="5" t="s">
        <v>1678</v>
      </c>
      <c r="K533" s="5" t="s">
        <v>1872</v>
      </c>
      <c r="L533" s="5" t="s">
        <v>1680</v>
      </c>
      <c r="M533" s="5" t="s">
        <v>1681</v>
      </c>
      <c r="N533" s="5" t="s">
        <v>1682</v>
      </c>
      <c r="O533" s="5" t="s">
        <v>1680</v>
      </c>
      <c r="P533" s="6">
        <v>25557.9</v>
      </c>
      <c r="Q533" s="6">
        <v>39465</v>
      </c>
      <c r="R533" s="6">
        <v>0</v>
      </c>
      <c r="S533" s="6">
        <v>13907.1</v>
      </c>
      <c r="T533" s="6">
        <v>0</v>
      </c>
    </row>
    <row r="534" spans="1:20">
      <c r="A534" s="5" t="s">
        <v>1672</v>
      </c>
      <c r="B534" s="5" t="s">
        <v>1673</v>
      </c>
      <c r="C534" s="5" t="s">
        <v>1674</v>
      </c>
      <c r="D534" s="5" t="s">
        <v>2</v>
      </c>
      <c r="E534" s="5" t="s">
        <v>1709</v>
      </c>
      <c r="F534" s="5" t="s">
        <v>1710</v>
      </c>
      <c r="G534" s="5" t="s">
        <v>1709</v>
      </c>
      <c r="H534" s="5" t="s">
        <v>1710</v>
      </c>
      <c r="I534" s="5" t="s">
        <v>1887</v>
      </c>
      <c r="J534" s="5" t="s">
        <v>1678</v>
      </c>
      <c r="K534" s="5" t="s">
        <v>1872</v>
      </c>
      <c r="L534" s="5" t="s">
        <v>1680</v>
      </c>
      <c r="M534" s="5" t="s">
        <v>1681</v>
      </c>
      <c r="N534" s="5" t="s">
        <v>1682</v>
      </c>
      <c r="O534" s="5" t="s">
        <v>1680</v>
      </c>
      <c r="P534" s="6">
        <v>25557.9</v>
      </c>
      <c r="Q534" s="6">
        <v>39465</v>
      </c>
      <c r="R534" s="6">
        <v>0</v>
      </c>
      <c r="S534" s="6">
        <v>13907.1</v>
      </c>
      <c r="T534" s="6">
        <v>0</v>
      </c>
    </row>
    <row r="535" spans="1:20">
      <c r="A535" s="5" t="s">
        <v>1672</v>
      </c>
      <c r="B535" s="5" t="s">
        <v>1673</v>
      </c>
      <c r="C535" s="5" t="s">
        <v>1674</v>
      </c>
      <c r="D535" s="5" t="s">
        <v>2</v>
      </c>
      <c r="E535" s="5" t="s">
        <v>1711</v>
      </c>
      <c r="F535" s="5" t="s">
        <v>1712</v>
      </c>
      <c r="G535" s="5" t="s">
        <v>1711</v>
      </c>
      <c r="H535" s="5" t="s">
        <v>1712</v>
      </c>
      <c r="I535" s="5" t="s">
        <v>1887</v>
      </c>
      <c r="J535" s="5" t="s">
        <v>1678</v>
      </c>
      <c r="K535" s="5" t="s">
        <v>1872</v>
      </c>
      <c r="L535" s="5" t="s">
        <v>1680</v>
      </c>
      <c r="M535" s="5" t="s">
        <v>1681</v>
      </c>
      <c r="N535" s="5" t="s">
        <v>1682</v>
      </c>
      <c r="O535" s="5" t="s">
        <v>1680</v>
      </c>
      <c r="P535" s="6">
        <v>25557.9</v>
      </c>
      <c r="Q535" s="6">
        <v>39465</v>
      </c>
      <c r="R535" s="6">
        <v>0</v>
      </c>
      <c r="S535" s="6">
        <v>13907.1</v>
      </c>
      <c r="T535" s="6">
        <v>0</v>
      </c>
    </row>
    <row r="536" spans="1:20">
      <c r="A536" s="5" t="s">
        <v>1672</v>
      </c>
      <c r="B536" s="5" t="s">
        <v>1673</v>
      </c>
      <c r="C536" s="5" t="s">
        <v>1674</v>
      </c>
      <c r="D536" s="5" t="s">
        <v>2</v>
      </c>
      <c r="E536" s="5" t="s">
        <v>1713</v>
      </c>
      <c r="F536" s="5" t="s">
        <v>1714</v>
      </c>
      <c r="G536" s="5" t="s">
        <v>1713</v>
      </c>
      <c r="H536" s="5" t="s">
        <v>1714</v>
      </c>
      <c r="I536" s="5" t="s">
        <v>1887</v>
      </c>
      <c r="J536" s="5" t="s">
        <v>1678</v>
      </c>
      <c r="K536" s="5" t="s">
        <v>1872</v>
      </c>
      <c r="L536" s="5" t="s">
        <v>1680</v>
      </c>
      <c r="M536" s="5" t="s">
        <v>1681</v>
      </c>
      <c r="N536" s="5" t="s">
        <v>1682</v>
      </c>
      <c r="O536" s="5" t="s">
        <v>1680</v>
      </c>
      <c r="P536" s="6">
        <v>25557.9</v>
      </c>
      <c r="Q536" s="6">
        <v>39465</v>
      </c>
      <c r="R536" s="6">
        <v>0</v>
      </c>
      <c r="S536" s="6">
        <v>13907.1</v>
      </c>
      <c r="T536" s="6">
        <v>0</v>
      </c>
    </row>
    <row r="537" spans="1:20">
      <c r="A537" s="5" t="s">
        <v>1672</v>
      </c>
      <c r="B537" s="5" t="s">
        <v>1673</v>
      </c>
      <c r="C537" s="5" t="s">
        <v>1715</v>
      </c>
      <c r="D537" s="5" t="s">
        <v>325</v>
      </c>
      <c r="E537" s="5" t="s">
        <v>1716</v>
      </c>
      <c r="F537" s="5" t="s">
        <v>1717</v>
      </c>
      <c r="G537" s="5" t="s">
        <v>1716</v>
      </c>
      <c r="H537" s="5" t="s">
        <v>1717</v>
      </c>
      <c r="I537" s="5" t="s">
        <v>1887</v>
      </c>
      <c r="J537" s="5" t="s">
        <v>1678</v>
      </c>
      <c r="K537" s="5" t="s">
        <v>1872</v>
      </c>
      <c r="L537" s="5" t="s">
        <v>1680</v>
      </c>
      <c r="M537" s="5" t="s">
        <v>1681</v>
      </c>
      <c r="N537" s="5" t="s">
        <v>1682</v>
      </c>
      <c r="O537" s="5" t="s">
        <v>1680</v>
      </c>
      <c r="P537" s="6">
        <v>31678.2</v>
      </c>
      <c r="Q537" s="6">
        <v>35952</v>
      </c>
      <c r="R537" s="6">
        <v>0</v>
      </c>
      <c r="S537" s="6">
        <v>4273.8</v>
      </c>
      <c r="T537" s="6">
        <v>0</v>
      </c>
    </row>
    <row r="538" spans="1:20">
      <c r="A538" s="5" t="s">
        <v>1672</v>
      </c>
      <c r="B538" s="5" t="s">
        <v>1673</v>
      </c>
      <c r="C538" s="5" t="s">
        <v>1715</v>
      </c>
      <c r="D538" s="5" t="s">
        <v>325</v>
      </c>
      <c r="E538" s="5" t="s">
        <v>1718</v>
      </c>
      <c r="F538" s="5" t="s">
        <v>1719</v>
      </c>
      <c r="G538" s="5" t="s">
        <v>1718</v>
      </c>
      <c r="H538" s="5" t="s">
        <v>1719</v>
      </c>
      <c r="I538" s="5" t="s">
        <v>1887</v>
      </c>
      <c r="J538" s="5" t="s">
        <v>1678</v>
      </c>
      <c r="K538" s="5" t="s">
        <v>1872</v>
      </c>
      <c r="L538" s="5" t="s">
        <v>1680</v>
      </c>
      <c r="M538" s="5" t="s">
        <v>1681</v>
      </c>
      <c r="N538" s="5" t="s">
        <v>1682</v>
      </c>
      <c r="O538" s="5" t="s">
        <v>1680</v>
      </c>
      <c r="P538" s="6">
        <v>31678.2</v>
      </c>
      <c r="Q538" s="6">
        <v>35952</v>
      </c>
      <c r="R538" s="6">
        <v>0</v>
      </c>
      <c r="S538" s="6">
        <v>4273.8</v>
      </c>
      <c r="T538" s="6">
        <v>0</v>
      </c>
    </row>
    <row r="539" spans="1:20">
      <c r="A539" s="5" t="s">
        <v>1672</v>
      </c>
      <c r="B539" s="5" t="s">
        <v>1673</v>
      </c>
      <c r="C539" s="5" t="s">
        <v>1715</v>
      </c>
      <c r="D539" s="5" t="s">
        <v>325</v>
      </c>
      <c r="E539" s="5" t="s">
        <v>1720</v>
      </c>
      <c r="F539" s="5" t="s">
        <v>1721</v>
      </c>
      <c r="G539" s="5" t="s">
        <v>1720</v>
      </c>
      <c r="H539" s="5" t="s">
        <v>1721</v>
      </c>
      <c r="I539" s="5" t="s">
        <v>1887</v>
      </c>
      <c r="J539" s="5" t="s">
        <v>1678</v>
      </c>
      <c r="K539" s="5" t="s">
        <v>1872</v>
      </c>
      <c r="L539" s="5" t="s">
        <v>1680</v>
      </c>
      <c r="M539" s="5" t="s">
        <v>1681</v>
      </c>
      <c r="N539" s="5" t="s">
        <v>1682</v>
      </c>
      <c r="O539" s="5" t="s">
        <v>1680</v>
      </c>
      <c r="P539" s="6">
        <v>31678.2</v>
      </c>
      <c r="Q539" s="6">
        <v>35952</v>
      </c>
      <c r="R539" s="6">
        <v>0</v>
      </c>
      <c r="S539" s="6">
        <v>4273.8</v>
      </c>
      <c r="T539" s="6">
        <v>0</v>
      </c>
    </row>
    <row r="540" spans="1:20">
      <c r="A540" s="5" t="s">
        <v>1672</v>
      </c>
      <c r="B540" s="5" t="s">
        <v>1673</v>
      </c>
      <c r="C540" s="5" t="s">
        <v>1715</v>
      </c>
      <c r="D540" s="5" t="s">
        <v>325</v>
      </c>
      <c r="E540" s="5" t="s">
        <v>1722</v>
      </c>
      <c r="F540" s="5" t="s">
        <v>1723</v>
      </c>
      <c r="G540" s="5" t="s">
        <v>1724</v>
      </c>
      <c r="H540" s="5" t="s">
        <v>1725</v>
      </c>
      <c r="I540" s="5" t="s">
        <v>1887</v>
      </c>
      <c r="J540" s="5" t="s">
        <v>1678</v>
      </c>
      <c r="K540" s="5" t="s">
        <v>1872</v>
      </c>
      <c r="L540" s="5" t="s">
        <v>1680</v>
      </c>
      <c r="M540" s="5" t="s">
        <v>1681</v>
      </c>
      <c r="N540" s="5" t="s">
        <v>1682</v>
      </c>
      <c r="O540" s="5" t="s">
        <v>1680</v>
      </c>
      <c r="P540" s="6">
        <v>31678.2</v>
      </c>
      <c r="Q540" s="6">
        <v>35952</v>
      </c>
      <c r="R540" s="6">
        <v>0</v>
      </c>
      <c r="S540" s="6">
        <v>4273.8</v>
      </c>
      <c r="T540" s="6">
        <v>0</v>
      </c>
    </row>
    <row r="541" spans="1:20">
      <c r="A541" s="5" t="s">
        <v>1672</v>
      </c>
      <c r="B541" s="5" t="s">
        <v>1673</v>
      </c>
      <c r="C541" s="5" t="s">
        <v>1715</v>
      </c>
      <c r="D541" s="5" t="s">
        <v>325</v>
      </c>
      <c r="E541" s="5" t="s">
        <v>1726</v>
      </c>
      <c r="F541" s="5" t="s">
        <v>1727</v>
      </c>
      <c r="G541" s="5" t="s">
        <v>1726</v>
      </c>
      <c r="H541" s="5" t="s">
        <v>1727</v>
      </c>
      <c r="I541" s="5" t="s">
        <v>1887</v>
      </c>
      <c r="J541" s="5" t="s">
        <v>1678</v>
      </c>
      <c r="K541" s="5" t="s">
        <v>1872</v>
      </c>
      <c r="L541" s="5" t="s">
        <v>1680</v>
      </c>
      <c r="M541" s="5" t="s">
        <v>1681</v>
      </c>
      <c r="N541" s="5" t="s">
        <v>1682</v>
      </c>
      <c r="O541" s="5" t="s">
        <v>1680</v>
      </c>
      <c r="P541" s="6">
        <v>31678.2</v>
      </c>
      <c r="Q541" s="6">
        <v>35952</v>
      </c>
      <c r="R541" s="6">
        <v>0</v>
      </c>
      <c r="S541" s="6">
        <v>4273.8</v>
      </c>
      <c r="T541" s="6">
        <v>0</v>
      </c>
    </row>
    <row r="542" spans="1:20">
      <c r="A542" s="5" t="s">
        <v>1672</v>
      </c>
      <c r="B542" s="5" t="s">
        <v>1673</v>
      </c>
      <c r="C542" s="5" t="s">
        <v>1715</v>
      </c>
      <c r="D542" s="5" t="s">
        <v>325</v>
      </c>
      <c r="E542" s="5" t="s">
        <v>1728</v>
      </c>
      <c r="F542" s="5" t="s">
        <v>1729</v>
      </c>
      <c r="G542" s="5" t="s">
        <v>1728</v>
      </c>
      <c r="H542" s="5" t="s">
        <v>1729</v>
      </c>
      <c r="I542" s="5" t="s">
        <v>1887</v>
      </c>
      <c r="J542" s="5" t="s">
        <v>1678</v>
      </c>
      <c r="K542" s="5" t="s">
        <v>1872</v>
      </c>
      <c r="L542" s="5" t="s">
        <v>1680</v>
      </c>
      <c r="M542" s="5" t="s">
        <v>1681</v>
      </c>
      <c r="N542" s="5" t="s">
        <v>1682</v>
      </c>
      <c r="O542" s="5" t="s">
        <v>1680</v>
      </c>
      <c r="P542" s="6">
        <v>31678.2</v>
      </c>
      <c r="Q542" s="6">
        <v>35952</v>
      </c>
      <c r="R542" s="6">
        <v>0</v>
      </c>
      <c r="S542" s="6">
        <v>4273.8</v>
      </c>
      <c r="T542" s="6">
        <v>0</v>
      </c>
    </row>
    <row r="543" spans="1:20">
      <c r="A543" s="5" t="s">
        <v>1672</v>
      </c>
      <c r="B543" s="5" t="s">
        <v>1673</v>
      </c>
      <c r="C543" s="5" t="s">
        <v>1715</v>
      </c>
      <c r="D543" s="5" t="s">
        <v>325</v>
      </c>
      <c r="E543" s="5" t="s">
        <v>1730</v>
      </c>
      <c r="F543" s="5" t="s">
        <v>1731</v>
      </c>
      <c r="G543" s="5" t="s">
        <v>1730</v>
      </c>
      <c r="H543" s="5" t="s">
        <v>1731</v>
      </c>
      <c r="I543" s="5" t="s">
        <v>1887</v>
      </c>
      <c r="J543" s="5" t="s">
        <v>1678</v>
      </c>
      <c r="K543" s="5" t="s">
        <v>1872</v>
      </c>
      <c r="L543" s="5" t="s">
        <v>1680</v>
      </c>
      <c r="M543" s="5" t="s">
        <v>1681</v>
      </c>
      <c r="N543" s="5" t="s">
        <v>1682</v>
      </c>
      <c r="O543" s="5" t="s">
        <v>1680</v>
      </c>
      <c r="P543" s="6">
        <v>31678.2</v>
      </c>
      <c r="Q543" s="6">
        <v>35952</v>
      </c>
      <c r="R543" s="6">
        <v>0</v>
      </c>
      <c r="S543" s="6">
        <v>4273.8</v>
      </c>
      <c r="T543" s="6">
        <v>0</v>
      </c>
    </row>
    <row r="544" spans="1:20">
      <c r="A544" s="5" t="s">
        <v>1672</v>
      </c>
      <c r="B544" s="5" t="s">
        <v>1673</v>
      </c>
      <c r="C544" s="5" t="s">
        <v>1715</v>
      </c>
      <c r="D544" s="5" t="s">
        <v>325</v>
      </c>
      <c r="E544" s="5" t="s">
        <v>1732</v>
      </c>
      <c r="F544" s="5" t="s">
        <v>1733</v>
      </c>
      <c r="G544" s="5" t="s">
        <v>1732</v>
      </c>
      <c r="H544" s="5" t="s">
        <v>1733</v>
      </c>
      <c r="I544" s="5" t="s">
        <v>1887</v>
      </c>
      <c r="J544" s="5" t="s">
        <v>1678</v>
      </c>
      <c r="K544" s="5" t="s">
        <v>1872</v>
      </c>
      <c r="L544" s="5" t="s">
        <v>1680</v>
      </c>
      <c r="M544" s="5" t="s">
        <v>1681</v>
      </c>
      <c r="N544" s="5" t="s">
        <v>1682</v>
      </c>
      <c r="O544" s="5" t="s">
        <v>1680</v>
      </c>
      <c r="P544" s="6">
        <v>31678.2</v>
      </c>
      <c r="Q544" s="6">
        <v>35952</v>
      </c>
      <c r="R544" s="6">
        <v>0</v>
      </c>
      <c r="S544" s="6">
        <v>4273.8</v>
      </c>
      <c r="T544" s="6">
        <v>0</v>
      </c>
    </row>
    <row r="545" spans="1:20">
      <c r="A545" s="5" t="s">
        <v>1672</v>
      </c>
      <c r="B545" s="5" t="s">
        <v>1673</v>
      </c>
      <c r="C545" s="5" t="s">
        <v>1715</v>
      </c>
      <c r="D545" s="5" t="s">
        <v>325</v>
      </c>
      <c r="E545" s="5" t="s">
        <v>1734</v>
      </c>
      <c r="F545" s="5" t="s">
        <v>1735</v>
      </c>
      <c r="G545" s="5" t="s">
        <v>1734</v>
      </c>
      <c r="H545" s="5" t="s">
        <v>1735</v>
      </c>
      <c r="I545" s="5" t="s">
        <v>1887</v>
      </c>
      <c r="J545" s="5" t="s">
        <v>1678</v>
      </c>
      <c r="K545" s="5" t="s">
        <v>1872</v>
      </c>
      <c r="L545" s="5" t="s">
        <v>1680</v>
      </c>
      <c r="M545" s="5" t="s">
        <v>1681</v>
      </c>
      <c r="N545" s="5" t="s">
        <v>1682</v>
      </c>
      <c r="O545" s="5" t="s">
        <v>1680</v>
      </c>
      <c r="P545" s="6">
        <v>31678.2</v>
      </c>
      <c r="Q545" s="6">
        <v>35952</v>
      </c>
      <c r="R545" s="6">
        <v>0</v>
      </c>
      <c r="S545" s="6">
        <v>4273.8</v>
      </c>
      <c r="T545" s="6">
        <v>0</v>
      </c>
    </row>
    <row r="546" spans="1:20">
      <c r="A546" s="5" t="s">
        <v>1672</v>
      </c>
      <c r="B546" s="5" t="s">
        <v>1673</v>
      </c>
      <c r="C546" s="5" t="s">
        <v>1715</v>
      </c>
      <c r="D546" s="5" t="s">
        <v>325</v>
      </c>
      <c r="E546" s="5" t="s">
        <v>1736</v>
      </c>
      <c r="F546" s="5" t="s">
        <v>1737</v>
      </c>
      <c r="G546" s="5" t="s">
        <v>1738</v>
      </c>
      <c r="H546" s="5" t="s">
        <v>1739</v>
      </c>
      <c r="I546" s="5" t="s">
        <v>1887</v>
      </c>
      <c r="J546" s="5" t="s">
        <v>1678</v>
      </c>
      <c r="K546" s="5" t="s">
        <v>1872</v>
      </c>
      <c r="L546" s="5" t="s">
        <v>1680</v>
      </c>
      <c r="M546" s="5" t="s">
        <v>1681</v>
      </c>
      <c r="N546" s="5" t="s">
        <v>1682</v>
      </c>
      <c r="O546" s="5" t="s">
        <v>1680</v>
      </c>
      <c r="P546" s="6">
        <v>31678.2</v>
      </c>
      <c r="Q546" s="6">
        <v>35952</v>
      </c>
      <c r="R546" s="6">
        <v>0</v>
      </c>
      <c r="S546" s="6">
        <v>4273.8</v>
      </c>
      <c r="T546" s="6">
        <v>0</v>
      </c>
    </row>
    <row r="547" spans="1:20">
      <c r="A547" s="5" t="s">
        <v>1672</v>
      </c>
      <c r="B547" s="5" t="s">
        <v>1673</v>
      </c>
      <c r="C547" s="5" t="s">
        <v>1715</v>
      </c>
      <c r="D547" s="5" t="s">
        <v>325</v>
      </c>
      <c r="E547" s="5" t="s">
        <v>1740</v>
      </c>
      <c r="F547" s="5" t="s">
        <v>1741</v>
      </c>
      <c r="G547" s="5" t="s">
        <v>1740</v>
      </c>
      <c r="H547" s="5" t="s">
        <v>1741</v>
      </c>
      <c r="I547" s="5" t="s">
        <v>1887</v>
      </c>
      <c r="J547" s="5" t="s">
        <v>1678</v>
      </c>
      <c r="K547" s="5" t="s">
        <v>1872</v>
      </c>
      <c r="L547" s="5" t="s">
        <v>1680</v>
      </c>
      <c r="M547" s="5" t="s">
        <v>1681</v>
      </c>
      <c r="N547" s="5" t="s">
        <v>1682</v>
      </c>
      <c r="O547" s="5" t="s">
        <v>1680</v>
      </c>
      <c r="P547" s="6">
        <v>31678.2</v>
      </c>
      <c r="Q547" s="6">
        <v>35952</v>
      </c>
      <c r="R547" s="6">
        <v>0</v>
      </c>
      <c r="S547" s="6">
        <v>4273.8</v>
      </c>
      <c r="T547" s="6">
        <v>0</v>
      </c>
    </row>
    <row r="548" spans="1:20">
      <c r="A548" s="5" t="s">
        <v>1672</v>
      </c>
      <c r="B548" s="5" t="s">
        <v>1673</v>
      </c>
      <c r="C548" s="5" t="s">
        <v>1715</v>
      </c>
      <c r="D548" s="5" t="s">
        <v>325</v>
      </c>
      <c r="E548" s="5" t="s">
        <v>1742</v>
      </c>
      <c r="F548" s="5" t="s">
        <v>1743</v>
      </c>
      <c r="G548" s="5" t="s">
        <v>1744</v>
      </c>
      <c r="H548" s="5" t="s">
        <v>1745</v>
      </c>
      <c r="I548" s="5" t="s">
        <v>1887</v>
      </c>
      <c r="J548" s="5" t="s">
        <v>1678</v>
      </c>
      <c r="K548" s="5" t="s">
        <v>1872</v>
      </c>
      <c r="L548" s="5" t="s">
        <v>1680</v>
      </c>
      <c r="M548" s="5" t="s">
        <v>1681</v>
      </c>
      <c r="N548" s="5" t="s">
        <v>1682</v>
      </c>
      <c r="O548" s="5" t="s">
        <v>1680</v>
      </c>
      <c r="P548" s="6">
        <v>31678.2</v>
      </c>
      <c r="Q548" s="6">
        <v>35952</v>
      </c>
      <c r="R548" s="6">
        <v>0</v>
      </c>
      <c r="S548" s="6">
        <v>4273.8</v>
      </c>
      <c r="T548" s="6">
        <v>0</v>
      </c>
    </row>
    <row r="549" spans="1:20">
      <c r="A549" s="5" t="s">
        <v>1672</v>
      </c>
      <c r="B549" s="5" t="s">
        <v>1673</v>
      </c>
      <c r="C549" s="5" t="s">
        <v>1715</v>
      </c>
      <c r="D549" s="5" t="s">
        <v>325</v>
      </c>
      <c r="E549" s="5" t="s">
        <v>1746</v>
      </c>
      <c r="F549" s="5" t="s">
        <v>1747</v>
      </c>
      <c r="G549" s="5" t="s">
        <v>1748</v>
      </c>
      <c r="H549" s="5" t="s">
        <v>1749</v>
      </c>
      <c r="I549" s="5" t="s">
        <v>1887</v>
      </c>
      <c r="J549" s="5" t="s">
        <v>1678</v>
      </c>
      <c r="K549" s="5" t="s">
        <v>1872</v>
      </c>
      <c r="L549" s="5" t="s">
        <v>1680</v>
      </c>
      <c r="M549" s="5" t="s">
        <v>1681</v>
      </c>
      <c r="N549" s="5" t="s">
        <v>1682</v>
      </c>
      <c r="O549" s="5" t="s">
        <v>1680</v>
      </c>
      <c r="P549" s="6">
        <v>31678.2</v>
      </c>
      <c r="Q549" s="6">
        <v>35952</v>
      </c>
      <c r="R549" s="6">
        <v>0</v>
      </c>
      <c r="S549" s="6">
        <v>4273.8</v>
      </c>
      <c r="T549" s="6">
        <v>0</v>
      </c>
    </row>
    <row r="550" spans="1:20">
      <c r="A550" s="5" t="s">
        <v>1672</v>
      </c>
      <c r="B550" s="5" t="s">
        <v>1673</v>
      </c>
      <c r="C550" s="5" t="s">
        <v>1715</v>
      </c>
      <c r="D550" s="5" t="s">
        <v>325</v>
      </c>
      <c r="E550" s="5" t="s">
        <v>1750</v>
      </c>
      <c r="F550" s="5" t="s">
        <v>1751</v>
      </c>
      <c r="G550" s="5" t="s">
        <v>1752</v>
      </c>
      <c r="H550" s="5" t="s">
        <v>1753</v>
      </c>
      <c r="I550" s="5" t="s">
        <v>1887</v>
      </c>
      <c r="J550" s="5" t="s">
        <v>1678</v>
      </c>
      <c r="K550" s="5" t="s">
        <v>1872</v>
      </c>
      <c r="L550" s="5" t="s">
        <v>1680</v>
      </c>
      <c r="M550" s="5" t="s">
        <v>1681</v>
      </c>
      <c r="N550" s="5" t="s">
        <v>1682</v>
      </c>
      <c r="O550" s="5" t="s">
        <v>1680</v>
      </c>
      <c r="P550" s="6">
        <v>31678.2</v>
      </c>
      <c r="Q550" s="6">
        <v>35952</v>
      </c>
      <c r="R550" s="6">
        <v>0</v>
      </c>
      <c r="S550" s="6">
        <v>4273.8</v>
      </c>
      <c r="T550" s="6">
        <v>0</v>
      </c>
    </row>
    <row r="551" spans="1:20">
      <c r="A551" s="5" t="s">
        <v>1672</v>
      </c>
      <c r="B551" s="5" t="s">
        <v>1673</v>
      </c>
      <c r="C551" s="5" t="s">
        <v>1715</v>
      </c>
      <c r="D551" s="5" t="s">
        <v>325</v>
      </c>
      <c r="E551" s="5" t="s">
        <v>1754</v>
      </c>
      <c r="F551" s="5" t="s">
        <v>1755</v>
      </c>
      <c r="G551" s="5" t="s">
        <v>1756</v>
      </c>
      <c r="H551" s="5" t="s">
        <v>1757</v>
      </c>
      <c r="I551" s="5" t="s">
        <v>1887</v>
      </c>
      <c r="J551" s="5" t="s">
        <v>1678</v>
      </c>
      <c r="K551" s="5" t="s">
        <v>1872</v>
      </c>
      <c r="L551" s="5" t="s">
        <v>1680</v>
      </c>
      <c r="M551" s="5" t="s">
        <v>1681</v>
      </c>
      <c r="N551" s="5" t="s">
        <v>1682</v>
      </c>
      <c r="O551" s="5" t="s">
        <v>1680</v>
      </c>
      <c r="P551" s="6">
        <v>31678.2</v>
      </c>
      <c r="Q551" s="6">
        <v>35952</v>
      </c>
      <c r="R551" s="6">
        <v>0</v>
      </c>
      <c r="S551" s="6">
        <v>4273.8</v>
      </c>
      <c r="T551" s="6">
        <v>0</v>
      </c>
    </row>
    <row r="552" spans="1:20">
      <c r="A552" s="5" t="s">
        <v>1672</v>
      </c>
      <c r="B552" s="5" t="s">
        <v>1673</v>
      </c>
      <c r="C552" s="5" t="s">
        <v>1715</v>
      </c>
      <c r="D552" s="5" t="s">
        <v>325</v>
      </c>
      <c r="E552" s="5" t="s">
        <v>1758</v>
      </c>
      <c r="F552" s="5" t="s">
        <v>1759</v>
      </c>
      <c r="G552" s="5" t="s">
        <v>1758</v>
      </c>
      <c r="H552" s="5" t="s">
        <v>1759</v>
      </c>
      <c r="I552" s="5" t="s">
        <v>1887</v>
      </c>
      <c r="J552" s="5" t="s">
        <v>1678</v>
      </c>
      <c r="K552" s="5" t="s">
        <v>1872</v>
      </c>
      <c r="L552" s="5" t="s">
        <v>1680</v>
      </c>
      <c r="M552" s="5" t="s">
        <v>1681</v>
      </c>
      <c r="N552" s="5" t="s">
        <v>1682</v>
      </c>
      <c r="O552" s="5" t="s">
        <v>1680</v>
      </c>
      <c r="P552" s="6">
        <v>31678.2</v>
      </c>
      <c r="Q552" s="6">
        <v>35952</v>
      </c>
      <c r="R552" s="6">
        <v>0</v>
      </c>
      <c r="S552" s="6">
        <v>4273.8</v>
      </c>
      <c r="T552" s="6">
        <v>0</v>
      </c>
    </row>
    <row r="553" spans="1:20">
      <c r="A553" s="5" t="s">
        <v>1672</v>
      </c>
      <c r="B553" s="5" t="s">
        <v>1673</v>
      </c>
      <c r="C553" s="5" t="s">
        <v>1715</v>
      </c>
      <c r="D553" s="5" t="s">
        <v>325</v>
      </c>
      <c r="E553" s="5" t="s">
        <v>1760</v>
      </c>
      <c r="F553" s="5" t="s">
        <v>1761</v>
      </c>
      <c r="G553" s="5" t="s">
        <v>1760</v>
      </c>
      <c r="H553" s="5" t="s">
        <v>1761</v>
      </c>
      <c r="I553" s="5" t="s">
        <v>1887</v>
      </c>
      <c r="J553" s="5" t="s">
        <v>1678</v>
      </c>
      <c r="K553" s="5" t="s">
        <v>1872</v>
      </c>
      <c r="L553" s="5" t="s">
        <v>1680</v>
      </c>
      <c r="M553" s="5" t="s">
        <v>1681</v>
      </c>
      <c r="N553" s="5" t="s">
        <v>1682</v>
      </c>
      <c r="O553" s="5" t="s">
        <v>1680</v>
      </c>
      <c r="P553" s="6">
        <v>31678.2</v>
      </c>
      <c r="Q553" s="6">
        <v>35952</v>
      </c>
      <c r="R553" s="6">
        <v>0</v>
      </c>
      <c r="S553" s="6">
        <v>4273.8</v>
      </c>
      <c r="T553" s="6">
        <v>0</v>
      </c>
    </row>
    <row r="554" spans="1:20">
      <c r="A554" s="5" t="s">
        <v>1672</v>
      </c>
      <c r="B554" s="5" t="s">
        <v>1673</v>
      </c>
      <c r="C554" s="5" t="s">
        <v>1715</v>
      </c>
      <c r="D554" s="5" t="s">
        <v>325</v>
      </c>
      <c r="E554" s="5" t="s">
        <v>1762</v>
      </c>
      <c r="F554" s="5" t="s">
        <v>1763</v>
      </c>
      <c r="G554" s="5" t="s">
        <v>1764</v>
      </c>
      <c r="H554" s="5" t="s">
        <v>1765</v>
      </c>
      <c r="I554" s="5" t="s">
        <v>1887</v>
      </c>
      <c r="J554" s="5" t="s">
        <v>1678</v>
      </c>
      <c r="K554" s="5" t="s">
        <v>1872</v>
      </c>
      <c r="L554" s="5" t="s">
        <v>1680</v>
      </c>
      <c r="M554" s="5" t="s">
        <v>1681</v>
      </c>
      <c r="N554" s="5" t="s">
        <v>1682</v>
      </c>
      <c r="O554" s="5" t="s">
        <v>1680</v>
      </c>
      <c r="P554" s="6">
        <v>31678.2</v>
      </c>
      <c r="Q554" s="6">
        <v>35952</v>
      </c>
      <c r="R554" s="6">
        <v>0</v>
      </c>
      <c r="S554" s="6">
        <v>4273.8</v>
      </c>
      <c r="T554" s="6">
        <v>0</v>
      </c>
    </row>
    <row r="555" spans="1:20">
      <c r="A555" s="5" t="s">
        <v>1672</v>
      </c>
      <c r="B555" s="5" t="s">
        <v>1673</v>
      </c>
      <c r="C555" s="5" t="s">
        <v>1715</v>
      </c>
      <c r="D555" s="5" t="s">
        <v>325</v>
      </c>
      <c r="E555" s="5" t="s">
        <v>1766</v>
      </c>
      <c r="F555" s="5" t="s">
        <v>1767</v>
      </c>
      <c r="G555" s="5" t="s">
        <v>1766</v>
      </c>
      <c r="H555" s="5" t="s">
        <v>1767</v>
      </c>
      <c r="I555" s="5" t="s">
        <v>1887</v>
      </c>
      <c r="J555" s="5" t="s">
        <v>1678</v>
      </c>
      <c r="K555" s="5" t="s">
        <v>1872</v>
      </c>
      <c r="L555" s="5" t="s">
        <v>1680</v>
      </c>
      <c r="M555" s="5" t="s">
        <v>1681</v>
      </c>
      <c r="N555" s="5" t="s">
        <v>1682</v>
      </c>
      <c r="O555" s="5" t="s">
        <v>1680</v>
      </c>
      <c r="P555" s="6">
        <v>31678.2</v>
      </c>
      <c r="Q555" s="6">
        <v>35952</v>
      </c>
      <c r="R555" s="6">
        <v>0</v>
      </c>
      <c r="S555" s="6">
        <v>4273.8</v>
      </c>
      <c r="T555" s="6">
        <v>0</v>
      </c>
    </row>
    <row r="556" spans="1:20">
      <c r="A556" s="5" t="s">
        <v>1672</v>
      </c>
      <c r="B556" s="5" t="s">
        <v>1673</v>
      </c>
      <c r="C556" s="5" t="s">
        <v>1715</v>
      </c>
      <c r="D556" s="5" t="s">
        <v>325</v>
      </c>
      <c r="E556" s="5" t="s">
        <v>1768</v>
      </c>
      <c r="F556" s="5" t="s">
        <v>1769</v>
      </c>
      <c r="G556" s="5" t="s">
        <v>1770</v>
      </c>
      <c r="H556" s="5" t="s">
        <v>1771</v>
      </c>
      <c r="I556" s="5" t="s">
        <v>1887</v>
      </c>
      <c r="J556" s="5" t="s">
        <v>1678</v>
      </c>
      <c r="K556" s="5" t="s">
        <v>1872</v>
      </c>
      <c r="L556" s="5" t="s">
        <v>1680</v>
      </c>
      <c r="M556" s="5" t="s">
        <v>1681</v>
      </c>
      <c r="N556" s="5" t="s">
        <v>1682</v>
      </c>
      <c r="O556" s="5" t="s">
        <v>1680</v>
      </c>
      <c r="P556" s="6">
        <v>31678.2</v>
      </c>
      <c r="Q556" s="6">
        <v>35952</v>
      </c>
      <c r="R556" s="6">
        <v>0</v>
      </c>
      <c r="S556" s="6">
        <v>4273.8</v>
      </c>
      <c r="T556" s="6">
        <v>0</v>
      </c>
    </row>
    <row r="557" spans="1:20">
      <c r="A557" s="5" t="s">
        <v>1672</v>
      </c>
      <c r="B557" s="5" t="s">
        <v>1673</v>
      </c>
      <c r="C557" s="5" t="s">
        <v>1715</v>
      </c>
      <c r="D557" s="5" t="s">
        <v>325</v>
      </c>
      <c r="E557" s="5" t="s">
        <v>1772</v>
      </c>
      <c r="F557" s="5" t="s">
        <v>1773</v>
      </c>
      <c r="G557" s="5" t="s">
        <v>1774</v>
      </c>
      <c r="H557" s="5" t="s">
        <v>1775</v>
      </c>
      <c r="I557" s="5" t="s">
        <v>1887</v>
      </c>
      <c r="J557" s="5" t="s">
        <v>1678</v>
      </c>
      <c r="K557" s="5" t="s">
        <v>1872</v>
      </c>
      <c r="L557" s="5" t="s">
        <v>1680</v>
      </c>
      <c r="M557" s="5" t="s">
        <v>1681</v>
      </c>
      <c r="N557" s="5" t="s">
        <v>1682</v>
      </c>
      <c r="O557" s="5" t="s">
        <v>1680</v>
      </c>
      <c r="P557" s="6">
        <v>31678.2</v>
      </c>
      <c r="Q557" s="6">
        <v>35952</v>
      </c>
      <c r="R557" s="6">
        <v>0</v>
      </c>
      <c r="S557" s="6">
        <v>4273.8</v>
      </c>
      <c r="T557" s="6">
        <v>0</v>
      </c>
    </row>
    <row r="558" spans="1:20">
      <c r="A558" s="5" t="s">
        <v>1672</v>
      </c>
      <c r="B558" s="5" t="s">
        <v>1673</v>
      </c>
      <c r="C558" s="5" t="s">
        <v>1715</v>
      </c>
      <c r="D558" s="5" t="s">
        <v>325</v>
      </c>
      <c r="E558" s="5" t="s">
        <v>1776</v>
      </c>
      <c r="F558" s="5" t="s">
        <v>1777</v>
      </c>
      <c r="G558" s="5" t="s">
        <v>1778</v>
      </c>
      <c r="H558" s="5" t="s">
        <v>1779</v>
      </c>
      <c r="I558" s="5" t="s">
        <v>1887</v>
      </c>
      <c r="J558" s="5" t="s">
        <v>1678</v>
      </c>
      <c r="K558" s="5" t="s">
        <v>1872</v>
      </c>
      <c r="L558" s="5" t="s">
        <v>1680</v>
      </c>
      <c r="M558" s="5" t="s">
        <v>1681</v>
      </c>
      <c r="N558" s="5" t="s">
        <v>1682</v>
      </c>
      <c r="O558" s="5" t="s">
        <v>1680</v>
      </c>
      <c r="P558" s="6">
        <v>31678.2</v>
      </c>
      <c r="Q558" s="6">
        <v>35952</v>
      </c>
      <c r="R558" s="6">
        <v>0</v>
      </c>
      <c r="S558" s="6">
        <v>4273.8</v>
      </c>
      <c r="T558" s="6">
        <v>0</v>
      </c>
    </row>
    <row r="559" spans="1:20">
      <c r="A559" s="5" t="s">
        <v>1672</v>
      </c>
      <c r="B559" s="5" t="s">
        <v>1673</v>
      </c>
      <c r="C559" s="5" t="s">
        <v>1715</v>
      </c>
      <c r="D559" s="5" t="s">
        <v>325</v>
      </c>
      <c r="E559" s="5" t="s">
        <v>1780</v>
      </c>
      <c r="F559" s="5" t="s">
        <v>1781</v>
      </c>
      <c r="G559" s="5" t="s">
        <v>1780</v>
      </c>
      <c r="H559" s="5" t="s">
        <v>1781</v>
      </c>
      <c r="I559" s="5" t="s">
        <v>1887</v>
      </c>
      <c r="J559" s="5" t="s">
        <v>1678</v>
      </c>
      <c r="K559" s="5" t="s">
        <v>1872</v>
      </c>
      <c r="L559" s="5" t="s">
        <v>1680</v>
      </c>
      <c r="M559" s="5" t="s">
        <v>1681</v>
      </c>
      <c r="N559" s="5" t="s">
        <v>1682</v>
      </c>
      <c r="O559" s="5" t="s">
        <v>1680</v>
      </c>
      <c r="P559" s="6">
        <v>31678.2</v>
      </c>
      <c r="Q559" s="6">
        <v>35952</v>
      </c>
      <c r="R559" s="6">
        <v>0</v>
      </c>
      <c r="S559" s="6">
        <v>4273.8</v>
      </c>
      <c r="T559" s="6">
        <v>0</v>
      </c>
    </row>
    <row r="560" spans="1:20">
      <c r="A560" s="5" t="s">
        <v>1672</v>
      </c>
      <c r="B560" s="5" t="s">
        <v>1673</v>
      </c>
      <c r="C560" s="5" t="s">
        <v>1715</v>
      </c>
      <c r="D560" s="5" t="s">
        <v>325</v>
      </c>
      <c r="E560" s="5" t="s">
        <v>1782</v>
      </c>
      <c r="F560" s="5" t="s">
        <v>1783</v>
      </c>
      <c r="G560" s="5" t="s">
        <v>1782</v>
      </c>
      <c r="H560" s="5" t="s">
        <v>1783</v>
      </c>
      <c r="I560" s="5" t="s">
        <v>1887</v>
      </c>
      <c r="J560" s="5" t="s">
        <v>1678</v>
      </c>
      <c r="K560" s="5" t="s">
        <v>1872</v>
      </c>
      <c r="L560" s="5" t="s">
        <v>1680</v>
      </c>
      <c r="M560" s="5" t="s">
        <v>1681</v>
      </c>
      <c r="N560" s="5" t="s">
        <v>1682</v>
      </c>
      <c r="O560" s="5" t="s">
        <v>1680</v>
      </c>
      <c r="P560" s="6">
        <v>31678.2</v>
      </c>
      <c r="Q560" s="6">
        <v>35952</v>
      </c>
      <c r="R560" s="6">
        <v>0</v>
      </c>
      <c r="S560" s="6">
        <v>4273.8</v>
      </c>
      <c r="T560" s="6">
        <v>0</v>
      </c>
    </row>
    <row r="561" spans="1:20">
      <c r="A561" s="5" t="s">
        <v>1672</v>
      </c>
      <c r="B561" s="5" t="s">
        <v>1673</v>
      </c>
      <c r="C561" s="5" t="s">
        <v>1715</v>
      </c>
      <c r="D561" s="5" t="s">
        <v>325</v>
      </c>
      <c r="E561" s="5" t="s">
        <v>1784</v>
      </c>
      <c r="F561" s="5" t="s">
        <v>1785</v>
      </c>
      <c r="G561" s="5" t="s">
        <v>1786</v>
      </c>
      <c r="H561" s="5" t="s">
        <v>1787</v>
      </c>
      <c r="I561" s="5" t="s">
        <v>1887</v>
      </c>
      <c r="J561" s="5" t="s">
        <v>1678</v>
      </c>
      <c r="K561" s="5" t="s">
        <v>1872</v>
      </c>
      <c r="L561" s="5" t="s">
        <v>1680</v>
      </c>
      <c r="M561" s="5" t="s">
        <v>1681</v>
      </c>
      <c r="N561" s="5" t="s">
        <v>1682</v>
      </c>
      <c r="O561" s="5" t="s">
        <v>1680</v>
      </c>
      <c r="P561" s="6">
        <v>31678.2</v>
      </c>
      <c r="Q561" s="6">
        <v>35952</v>
      </c>
      <c r="R561" s="6">
        <v>0</v>
      </c>
      <c r="S561" s="6">
        <v>4273.8</v>
      </c>
      <c r="T561" s="6">
        <v>0</v>
      </c>
    </row>
    <row r="562" spans="1:20">
      <c r="A562" s="5" t="s">
        <v>1672</v>
      </c>
      <c r="B562" s="5" t="s">
        <v>1673</v>
      </c>
      <c r="C562" s="5" t="s">
        <v>1715</v>
      </c>
      <c r="D562" s="5" t="s">
        <v>325</v>
      </c>
      <c r="E562" s="5" t="s">
        <v>1788</v>
      </c>
      <c r="F562" s="5" t="s">
        <v>1789</v>
      </c>
      <c r="G562" s="5" t="s">
        <v>1790</v>
      </c>
      <c r="H562" s="5" t="s">
        <v>1791</v>
      </c>
      <c r="I562" s="5" t="s">
        <v>1887</v>
      </c>
      <c r="J562" s="5" t="s">
        <v>1678</v>
      </c>
      <c r="K562" s="5" t="s">
        <v>1872</v>
      </c>
      <c r="L562" s="5" t="s">
        <v>1680</v>
      </c>
      <c r="M562" s="5" t="s">
        <v>1681</v>
      </c>
      <c r="N562" s="5" t="s">
        <v>1682</v>
      </c>
      <c r="O562" s="5" t="s">
        <v>1680</v>
      </c>
      <c r="P562" s="6">
        <v>31678.2</v>
      </c>
      <c r="Q562" s="6">
        <v>35952</v>
      </c>
      <c r="R562" s="6">
        <v>0</v>
      </c>
      <c r="S562" s="6">
        <v>4273.8</v>
      </c>
      <c r="T562" s="6">
        <v>0</v>
      </c>
    </row>
    <row r="563" spans="1:20">
      <c r="A563" s="5" t="s">
        <v>1672</v>
      </c>
      <c r="B563" s="5" t="s">
        <v>1673</v>
      </c>
      <c r="C563" s="5" t="s">
        <v>1715</v>
      </c>
      <c r="D563" s="5" t="s">
        <v>325</v>
      </c>
      <c r="E563" s="5" t="s">
        <v>1792</v>
      </c>
      <c r="F563" s="5" t="s">
        <v>1793</v>
      </c>
      <c r="G563" s="5" t="s">
        <v>1794</v>
      </c>
      <c r="H563" s="5" t="s">
        <v>1795</v>
      </c>
      <c r="I563" s="5" t="s">
        <v>1887</v>
      </c>
      <c r="J563" s="5" t="s">
        <v>1678</v>
      </c>
      <c r="K563" s="5" t="s">
        <v>1872</v>
      </c>
      <c r="L563" s="5" t="s">
        <v>1680</v>
      </c>
      <c r="M563" s="5" t="s">
        <v>1681</v>
      </c>
      <c r="N563" s="5" t="s">
        <v>1682</v>
      </c>
      <c r="O563" s="5" t="s">
        <v>1680</v>
      </c>
      <c r="P563" s="6">
        <v>31678.2</v>
      </c>
      <c r="Q563" s="6">
        <v>35952</v>
      </c>
      <c r="R563" s="6">
        <v>0</v>
      </c>
      <c r="S563" s="6">
        <v>4273.8</v>
      </c>
      <c r="T563" s="6">
        <v>0</v>
      </c>
    </row>
    <row r="564" spans="1:20">
      <c r="A564" s="5" t="s">
        <v>1672</v>
      </c>
      <c r="B564" s="5" t="s">
        <v>1673</v>
      </c>
      <c r="C564" s="5" t="s">
        <v>1715</v>
      </c>
      <c r="D564" s="5" t="s">
        <v>325</v>
      </c>
      <c r="E564" s="5" t="s">
        <v>1796</v>
      </c>
      <c r="F564" s="5" t="s">
        <v>1797</v>
      </c>
      <c r="G564" s="5" t="s">
        <v>1796</v>
      </c>
      <c r="H564" s="5" t="s">
        <v>1797</v>
      </c>
      <c r="I564" s="5" t="s">
        <v>1887</v>
      </c>
      <c r="J564" s="5" t="s">
        <v>1678</v>
      </c>
      <c r="K564" s="5" t="s">
        <v>1872</v>
      </c>
      <c r="L564" s="5" t="s">
        <v>1680</v>
      </c>
      <c r="M564" s="5" t="s">
        <v>1681</v>
      </c>
      <c r="N564" s="5" t="s">
        <v>1682</v>
      </c>
      <c r="O564" s="5" t="s">
        <v>1680</v>
      </c>
      <c r="P564" s="6">
        <v>31678.2</v>
      </c>
      <c r="Q564" s="6">
        <v>35952</v>
      </c>
      <c r="R564" s="6">
        <v>0</v>
      </c>
      <c r="S564" s="6">
        <v>4273.8</v>
      </c>
      <c r="T564" s="6">
        <v>0</v>
      </c>
    </row>
    <row r="565" spans="1:20">
      <c r="A565" s="5" t="s">
        <v>1672</v>
      </c>
      <c r="B565" s="5" t="s">
        <v>1673</v>
      </c>
      <c r="C565" s="5" t="s">
        <v>1715</v>
      </c>
      <c r="D565" s="5" t="s">
        <v>325</v>
      </c>
      <c r="E565" s="5" t="s">
        <v>1798</v>
      </c>
      <c r="F565" s="5" t="s">
        <v>1799</v>
      </c>
      <c r="G565" s="5" t="s">
        <v>1798</v>
      </c>
      <c r="H565" s="5" t="s">
        <v>1799</v>
      </c>
      <c r="I565" s="5" t="s">
        <v>1887</v>
      </c>
      <c r="J565" s="5" t="s">
        <v>1678</v>
      </c>
      <c r="K565" s="5" t="s">
        <v>1872</v>
      </c>
      <c r="L565" s="5" t="s">
        <v>1680</v>
      </c>
      <c r="M565" s="5" t="s">
        <v>1681</v>
      </c>
      <c r="N565" s="5" t="s">
        <v>1682</v>
      </c>
      <c r="O565" s="5" t="s">
        <v>1680</v>
      </c>
      <c r="P565" s="6">
        <v>31678.2</v>
      </c>
      <c r="Q565" s="6">
        <v>35952</v>
      </c>
      <c r="R565" s="6">
        <v>0</v>
      </c>
      <c r="S565" s="6">
        <v>4273.8</v>
      </c>
      <c r="T565" s="6">
        <v>0</v>
      </c>
    </row>
    <row r="566" spans="1:20">
      <c r="A566" s="5" t="s">
        <v>1672</v>
      </c>
      <c r="B566" s="5" t="s">
        <v>1673</v>
      </c>
      <c r="C566" s="5" t="s">
        <v>1715</v>
      </c>
      <c r="D566" s="5" t="s">
        <v>325</v>
      </c>
      <c r="E566" s="5" t="s">
        <v>1800</v>
      </c>
      <c r="F566" s="5" t="s">
        <v>1801</v>
      </c>
      <c r="G566" s="5" t="s">
        <v>1800</v>
      </c>
      <c r="H566" s="5" t="s">
        <v>1801</v>
      </c>
      <c r="I566" s="5" t="s">
        <v>1887</v>
      </c>
      <c r="J566" s="5" t="s">
        <v>1678</v>
      </c>
      <c r="K566" s="5" t="s">
        <v>1872</v>
      </c>
      <c r="L566" s="5" t="s">
        <v>1680</v>
      </c>
      <c r="M566" s="5" t="s">
        <v>1681</v>
      </c>
      <c r="N566" s="5" t="s">
        <v>1682</v>
      </c>
      <c r="O566" s="5" t="s">
        <v>1680</v>
      </c>
      <c r="P566" s="6">
        <v>31678.2</v>
      </c>
      <c r="Q566" s="6">
        <v>35952</v>
      </c>
      <c r="R566" s="6">
        <v>0</v>
      </c>
      <c r="S566" s="6">
        <v>4273.8</v>
      </c>
      <c r="T566" s="6">
        <v>0</v>
      </c>
    </row>
    <row r="567" spans="1:20">
      <c r="A567" s="5" t="s">
        <v>1672</v>
      </c>
      <c r="B567" s="5" t="s">
        <v>1673</v>
      </c>
      <c r="C567" s="5" t="s">
        <v>1715</v>
      </c>
      <c r="D567" s="5" t="s">
        <v>325</v>
      </c>
      <c r="E567" s="5" t="s">
        <v>1802</v>
      </c>
      <c r="F567" s="5" t="s">
        <v>1803</v>
      </c>
      <c r="G567" s="5" t="s">
        <v>1804</v>
      </c>
      <c r="H567" s="5" t="s">
        <v>1805</v>
      </c>
      <c r="I567" s="5" t="s">
        <v>1887</v>
      </c>
      <c r="J567" s="5" t="s">
        <v>1678</v>
      </c>
      <c r="K567" s="5" t="s">
        <v>1872</v>
      </c>
      <c r="L567" s="5" t="s">
        <v>1680</v>
      </c>
      <c r="M567" s="5" t="s">
        <v>1681</v>
      </c>
      <c r="N567" s="5" t="s">
        <v>1682</v>
      </c>
      <c r="O567" s="5" t="s">
        <v>1680</v>
      </c>
      <c r="P567" s="6">
        <v>31678.2</v>
      </c>
      <c r="Q567" s="6">
        <v>35952</v>
      </c>
      <c r="R567" s="6">
        <v>0</v>
      </c>
      <c r="S567" s="6">
        <v>4273.8</v>
      </c>
      <c r="T567" s="6">
        <v>0</v>
      </c>
    </row>
    <row r="568" spans="1:20">
      <c r="A568" s="5" t="s">
        <v>1672</v>
      </c>
      <c r="B568" s="5" t="s">
        <v>1673</v>
      </c>
      <c r="C568" s="5" t="s">
        <v>1715</v>
      </c>
      <c r="D568" s="5" t="s">
        <v>325</v>
      </c>
      <c r="E568" s="5" t="s">
        <v>1806</v>
      </c>
      <c r="F568" s="5" t="s">
        <v>1807</v>
      </c>
      <c r="G568" s="5" t="s">
        <v>1808</v>
      </c>
      <c r="H568" s="5" t="s">
        <v>1809</v>
      </c>
      <c r="I568" s="5" t="s">
        <v>1887</v>
      </c>
      <c r="J568" s="5" t="s">
        <v>1678</v>
      </c>
      <c r="K568" s="5" t="s">
        <v>1872</v>
      </c>
      <c r="L568" s="5" t="s">
        <v>1680</v>
      </c>
      <c r="M568" s="5" t="s">
        <v>1681</v>
      </c>
      <c r="N568" s="5" t="s">
        <v>1682</v>
      </c>
      <c r="O568" s="5" t="s">
        <v>1680</v>
      </c>
      <c r="P568" s="6">
        <v>31678.2</v>
      </c>
      <c r="Q568" s="6">
        <v>35952</v>
      </c>
      <c r="R568" s="6">
        <v>0</v>
      </c>
      <c r="S568" s="6">
        <v>4273.8</v>
      </c>
      <c r="T568" s="6">
        <v>0</v>
      </c>
    </row>
    <row r="569" spans="1:20">
      <c r="A569" s="5" t="s">
        <v>1672</v>
      </c>
      <c r="B569" s="5" t="s">
        <v>1673</v>
      </c>
      <c r="C569" s="5" t="s">
        <v>1715</v>
      </c>
      <c r="D569" s="5" t="s">
        <v>325</v>
      </c>
      <c r="E569" s="5" t="s">
        <v>1810</v>
      </c>
      <c r="F569" s="5" t="s">
        <v>1811</v>
      </c>
      <c r="G569" s="5" t="s">
        <v>1812</v>
      </c>
      <c r="H569" s="5" t="s">
        <v>1813</v>
      </c>
      <c r="I569" s="5" t="s">
        <v>1887</v>
      </c>
      <c r="J569" s="5" t="s">
        <v>1678</v>
      </c>
      <c r="K569" s="5" t="s">
        <v>1872</v>
      </c>
      <c r="L569" s="5" t="s">
        <v>1680</v>
      </c>
      <c r="M569" s="5" t="s">
        <v>1681</v>
      </c>
      <c r="N569" s="5" t="s">
        <v>1682</v>
      </c>
      <c r="O569" s="5" t="s">
        <v>1680</v>
      </c>
      <c r="P569" s="6">
        <v>31678.2</v>
      </c>
      <c r="Q569" s="6">
        <v>35952</v>
      </c>
      <c r="R569" s="6">
        <v>0</v>
      </c>
      <c r="S569" s="6">
        <v>4273.8</v>
      </c>
      <c r="T569" s="6">
        <v>0</v>
      </c>
    </row>
    <row r="570" spans="1:20">
      <c r="A570" s="5" t="s">
        <v>1672</v>
      </c>
      <c r="B570" s="5" t="s">
        <v>1673</v>
      </c>
      <c r="C570" s="5" t="s">
        <v>1715</v>
      </c>
      <c r="D570" s="5" t="s">
        <v>325</v>
      </c>
      <c r="E570" s="5" t="s">
        <v>1814</v>
      </c>
      <c r="F570" s="5" t="s">
        <v>1815</v>
      </c>
      <c r="G570" s="5" t="s">
        <v>1814</v>
      </c>
      <c r="H570" s="5" t="s">
        <v>1815</v>
      </c>
      <c r="I570" s="5" t="s">
        <v>1887</v>
      </c>
      <c r="J570" s="5" t="s">
        <v>1678</v>
      </c>
      <c r="K570" s="5" t="s">
        <v>1872</v>
      </c>
      <c r="L570" s="5" t="s">
        <v>1680</v>
      </c>
      <c r="M570" s="5" t="s">
        <v>1681</v>
      </c>
      <c r="N570" s="5" t="s">
        <v>1682</v>
      </c>
      <c r="O570" s="5" t="s">
        <v>1680</v>
      </c>
      <c r="P570" s="6">
        <v>31678.2</v>
      </c>
      <c r="Q570" s="6">
        <v>35952</v>
      </c>
      <c r="R570" s="6">
        <v>0</v>
      </c>
      <c r="S570" s="6">
        <v>4273.8</v>
      </c>
      <c r="T570" s="6">
        <v>0</v>
      </c>
    </row>
    <row r="571" spans="1:20">
      <c r="A571" s="5" t="s">
        <v>1672</v>
      </c>
      <c r="B571" s="5" t="s">
        <v>1673</v>
      </c>
      <c r="C571" s="5" t="s">
        <v>1715</v>
      </c>
      <c r="D571" s="5" t="s">
        <v>325</v>
      </c>
      <c r="E571" s="5" t="s">
        <v>1816</v>
      </c>
      <c r="F571" s="5" t="s">
        <v>1817</v>
      </c>
      <c r="G571" s="5" t="s">
        <v>1818</v>
      </c>
      <c r="H571" s="5" t="s">
        <v>1819</v>
      </c>
      <c r="I571" s="5" t="s">
        <v>1887</v>
      </c>
      <c r="J571" s="5" t="s">
        <v>1678</v>
      </c>
      <c r="K571" s="5" t="s">
        <v>1872</v>
      </c>
      <c r="L571" s="5" t="s">
        <v>1680</v>
      </c>
      <c r="M571" s="5" t="s">
        <v>1681</v>
      </c>
      <c r="N571" s="5" t="s">
        <v>1682</v>
      </c>
      <c r="O571" s="5" t="s">
        <v>1680</v>
      </c>
      <c r="P571" s="6">
        <v>31678.2</v>
      </c>
      <c r="Q571" s="6">
        <v>35952</v>
      </c>
      <c r="R571" s="6">
        <v>0</v>
      </c>
      <c r="S571" s="6">
        <v>4273.8</v>
      </c>
      <c r="T571" s="6">
        <v>0</v>
      </c>
    </row>
    <row r="572" spans="1:20">
      <c r="A572" s="5" t="s">
        <v>1672</v>
      </c>
      <c r="B572" s="5" t="s">
        <v>1673</v>
      </c>
      <c r="C572" s="5" t="s">
        <v>1715</v>
      </c>
      <c r="D572" s="5" t="s">
        <v>325</v>
      </c>
      <c r="E572" s="5" t="s">
        <v>1820</v>
      </c>
      <c r="F572" s="5" t="s">
        <v>1821</v>
      </c>
      <c r="G572" s="5" t="s">
        <v>1822</v>
      </c>
      <c r="H572" s="5" t="s">
        <v>1823</v>
      </c>
      <c r="I572" s="5" t="s">
        <v>1887</v>
      </c>
      <c r="J572" s="5" t="s">
        <v>1678</v>
      </c>
      <c r="K572" s="5" t="s">
        <v>1872</v>
      </c>
      <c r="L572" s="5" t="s">
        <v>1680</v>
      </c>
      <c r="M572" s="5" t="s">
        <v>1681</v>
      </c>
      <c r="N572" s="5" t="s">
        <v>1682</v>
      </c>
      <c r="O572" s="5" t="s">
        <v>1680</v>
      </c>
      <c r="P572" s="6">
        <v>31678.2</v>
      </c>
      <c r="Q572" s="6">
        <v>35952</v>
      </c>
      <c r="R572" s="6">
        <v>0</v>
      </c>
      <c r="S572" s="6">
        <v>4273.8</v>
      </c>
      <c r="T572" s="6">
        <v>0</v>
      </c>
    </row>
    <row r="573" spans="1:20">
      <c r="A573" s="5" t="s">
        <v>1672</v>
      </c>
      <c r="B573" s="5" t="s">
        <v>1673</v>
      </c>
      <c r="C573" s="5" t="s">
        <v>1715</v>
      </c>
      <c r="D573" s="5" t="s">
        <v>325</v>
      </c>
      <c r="E573" s="5" t="s">
        <v>1824</v>
      </c>
      <c r="F573" s="5" t="s">
        <v>1825</v>
      </c>
      <c r="G573" s="5" t="s">
        <v>1826</v>
      </c>
      <c r="H573" s="5" t="s">
        <v>1827</v>
      </c>
      <c r="I573" s="5" t="s">
        <v>1887</v>
      </c>
      <c r="J573" s="5" t="s">
        <v>1678</v>
      </c>
      <c r="K573" s="5" t="s">
        <v>1872</v>
      </c>
      <c r="L573" s="5" t="s">
        <v>1680</v>
      </c>
      <c r="M573" s="5" t="s">
        <v>1681</v>
      </c>
      <c r="N573" s="5" t="s">
        <v>1682</v>
      </c>
      <c r="O573" s="5" t="s">
        <v>1680</v>
      </c>
      <c r="P573" s="6">
        <v>31678.2</v>
      </c>
      <c r="Q573" s="6">
        <v>35952</v>
      </c>
      <c r="R573" s="6">
        <v>0</v>
      </c>
      <c r="S573" s="6">
        <v>4273.8</v>
      </c>
      <c r="T573" s="6">
        <v>0</v>
      </c>
    </row>
    <row r="574" spans="1:20">
      <c r="A574" s="5" t="s">
        <v>1672</v>
      </c>
      <c r="B574" s="5" t="s">
        <v>1673</v>
      </c>
      <c r="C574" s="5" t="s">
        <v>1715</v>
      </c>
      <c r="D574" s="5" t="s">
        <v>325</v>
      </c>
      <c r="E574" s="5" t="s">
        <v>1828</v>
      </c>
      <c r="F574" s="5" t="s">
        <v>1829</v>
      </c>
      <c r="G574" s="5" t="s">
        <v>1828</v>
      </c>
      <c r="H574" s="5" t="s">
        <v>1829</v>
      </c>
      <c r="I574" s="5" t="s">
        <v>1887</v>
      </c>
      <c r="J574" s="5" t="s">
        <v>1678</v>
      </c>
      <c r="K574" s="5" t="s">
        <v>1872</v>
      </c>
      <c r="L574" s="5" t="s">
        <v>1680</v>
      </c>
      <c r="M574" s="5" t="s">
        <v>1681</v>
      </c>
      <c r="N574" s="5" t="s">
        <v>1682</v>
      </c>
      <c r="O574" s="5" t="s">
        <v>1680</v>
      </c>
      <c r="P574" s="6">
        <v>31678.2</v>
      </c>
      <c r="Q574" s="6">
        <v>35952</v>
      </c>
      <c r="R574" s="6">
        <v>0</v>
      </c>
      <c r="S574" s="6">
        <v>4273.8</v>
      </c>
      <c r="T574" s="6">
        <v>0</v>
      </c>
    </row>
    <row r="575" spans="1:20">
      <c r="A575" s="5" t="s">
        <v>1672</v>
      </c>
      <c r="B575" s="5" t="s">
        <v>1673</v>
      </c>
      <c r="C575" s="5" t="s">
        <v>1715</v>
      </c>
      <c r="D575" s="5" t="s">
        <v>325</v>
      </c>
      <c r="E575" s="5" t="s">
        <v>1830</v>
      </c>
      <c r="F575" s="5" t="s">
        <v>1831</v>
      </c>
      <c r="G575" s="5" t="s">
        <v>1830</v>
      </c>
      <c r="H575" s="5" t="s">
        <v>1831</v>
      </c>
      <c r="I575" s="5" t="s">
        <v>1887</v>
      </c>
      <c r="J575" s="5" t="s">
        <v>1678</v>
      </c>
      <c r="K575" s="5" t="s">
        <v>1872</v>
      </c>
      <c r="L575" s="5" t="s">
        <v>1680</v>
      </c>
      <c r="M575" s="5" t="s">
        <v>1681</v>
      </c>
      <c r="N575" s="5" t="s">
        <v>1682</v>
      </c>
      <c r="O575" s="5" t="s">
        <v>1680</v>
      </c>
      <c r="P575" s="6">
        <v>31678.2</v>
      </c>
      <c r="Q575" s="6">
        <v>35952</v>
      </c>
      <c r="R575" s="6">
        <v>0</v>
      </c>
      <c r="S575" s="6">
        <v>4273.8</v>
      </c>
      <c r="T575" s="6">
        <v>0</v>
      </c>
    </row>
    <row r="576" spans="1:20">
      <c r="A576" s="5" t="s">
        <v>1672</v>
      </c>
      <c r="B576" s="5" t="s">
        <v>1673</v>
      </c>
      <c r="C576" s="5" t="s">
        <v>1715</v>
      </c>
      <c r="D576" s="5" t="s">
        <v>325</v>
      </c>
      <c r="E576" s="5" t="s">
        <v>1832</v>
      </c>
      <c r="F576" s="5" t="s">
        <v>1833</v>
      </c>
      <c r="G576" s="5" t="s">
        <v>1834</v>
      </c>
      <c r="H576" s="5" t="s">
        <v>1835</v>
      </c>
      <c r="I576" s="5" t="s">
        <v>1887</v>
      </c>
      <c r="J576" s="5" t="s">
        <v>1678</v>
      </c>
      <c r="K576" s="5" t="s">
        <v>1872</v>
      </c>
      <c r="L576" s="5" t="s">
        <v>1680</v>
      </c>
      <c r="M576" s="5" t="s">
        <v>1681</v>
      </c>
      <c r="N576" s="5" t="s">
        <v>1682</v>
      </c>
      <c r="O576" s="5" t="s">
        <v>1680</v>
      </c>
      <c r="P576" s="6">
        <v>31678.2</v>
      </c>
      <c r="Q576" s="6">
        <v>35952</v>
      </c>
      <c r="R576" s="6">
        <v>0</v>
      </c>
      <c r="S576" s="6">
        <v>4273.8</v>
      </c>
      <c r="T576" s="6">
        <v>0</v>
      </c>
    </row>
    <row r="577" spans="1:20">
      <c r="A577" s="5" t="s">
        <v>1672</v>
      </c>
      <c r="B577" s="5" t="s">
        <v>1673</v>
      </c>
      <c r="C577" s="5" t="s">
        <v>1715</v>
      </c>
      <c r="D577" s="5" t="s">
        <v>325</v>
      </c>
      <c r="E577" s="5" t="s">
        <v>1836</v>
      </c>
      <c r="F577" s="5" t="s">
        <v>1837</v>
      </c>
      <c r="G577" s="5" t="s">
        <v>1836</v>
      </c>
      <c r="H577" s="5" t="s">
        <v>1837</v>
      </c>
      <c r="I577" s="5" t="s">
        <v>1887</v>
      </c>
      <c r="J577" s="5" t="s">
        <v>1678</v>
      </c>
      <c r="K577" s="5" t="s">
        <v>1872</v>
      </c>
      <c r="L577" s="5" t="s">
        <v>1680</v>
      </c>
      <c r="M577" s="5" t="s">
        <v>1681</v>
      </c>
      <c r="N577" s="5" t="s">
        <v>1682</v>
      </c>
      <c r="O577" s="5" t="s">
        <v>1680</v>
      </c>
      <c r="P577" s="6">
        <v>31678.2</v>
      </c>
      <c r="Q577" s="6">
        <v>35952</v>
      </c>
      <c r="R577" s="6">
        <v>0</v>
      </c>
      <c r="S577" s="6">
        <v>4273.8</v>
      </c>
      <c r="T577" s="6">
        <v>0</v>
      </c>
    </row>
    <row r="578" spans="1:20">
      <c r="A578" s="5" t="s">
        <v>1672</v>
      </c>
      <c r="B578" s="5" t="s">
        <v>1673</v>
      </c>
      <c r="C578" s="5" t="s">
        <v>1715</v>
      </c>
      <c r="D578" s="5" t="s">
        <v>325</v>
      </c>
      <c r="E578" s="5" t="s">
        <v>1838</v>
      </c>
      <c r="F578" s="5" t="s">
        <v>1839</v>
      </c>
      <c r="G578" s="5" t="s">
        <v>1840</v>
      </c>
      <c r="H578" s="5" t="s">
        <v>1841</v>
      </c>
      <c r="I578" s="5" t="s">
        <v>1887</v>
      </c>
      <c r="J578" s="5" t="s">
        <v>1678</v>
      </c>
      <c r="K578" s="5" t="s">
        <v>1872</v>
      </c>
      <c r="L578" s="5" t="s">
        <v>1680</v>
      </c>
      <c r="M578" s="5" t="s">
        <v>1681</v>
      </c>
      <c r="N578" s="5" t="s">
        <v>1682</v>
      </c>
      <c r="O578" s="5" t="s">
        <v>1680</v>
      </c>
      <c r="P578" s="6">
        <v>31678.2</v>
      </c>
      <c r="Q578" s="6">
        <v>35952</v>
      </c>
      <c r="R578" s="6">
        <v>0</v>
      </c>
      <c r="S578" s="6">
        <v>4273.8</v>
      </c>
      <c r="T578" s="6">
        <v>0</v>
      </c>
    </row>
    <row r="579" spans="1:20">
      <c r="A579" s="5" t="s">
        <v>1672</v>
      </c>
      <c r="B579" s="5" t="s">
        <v>1673</v>
      </c>
      <c r="C579" s="5" t="s">
        <v>1842</v>
      </c>
      <c r="D579" s="5" t="s">
        <v>514</v>
      </c>
      <c r="E579" s="5" t="s">
        <v>1843</v>
      </c>
      <c r="F579" s="5" t="s">
        <v>1844</v>
      </c>
      <c r="G579" s="5" t="s">
        <v>1843</v>
      </c>
      <c r="H579" s="5" t="s">
        <v>1844</v>
      </c>
      <c r="I579" s="5" t="s">
        <v>1887</v>
      </c>
      <c r="J579" s="5" t="s">
        <v>1678</v>
      </c>
      <c r="K579" s="5" t="s">
        <v>1872</v>
      </c>
      <c r="L579" s="5" t="s">
        <v>1680</v>
      </c>
      <c r="M579" s="5" t="s">
        <v>1681</v>
      </c>
      <c r="N579" s="5" t="s">
        <v>1682</v>
      </c>
      <c r="O579" s="5" t="s">
        <v>1680</v>
      </c>
      <c r="P579" s="6">
        <v>6879</v>
      </c>
      <c r="Q579" s="6">
        <v>6879</v>
      </c>
      <c r="R579" s="6">
        <v>0</v>
      </c>
      <c r="S579" s="6">
        <v>0</v>
      </c>
      <c r="T579" s="6">
        <v>0</v>
      </c>
    </row>
    <row r="580" spans="1:20">
      <c r="A580" s="5" t="s">
        <v>1672</v>
      </c>
      <c r="B580" s="5" t="s">
        <v>1673</v>
      </c>
      <c r="C580" s="5" t="s">
        <v>1842</v>
      </c>
      <c r="D580" s="5" t="s">
        <v>514</v>
      </c>
      <c r="E580" s="5" t="s">
        <v>1845</v>
      </c>
      <c r="F580" s="5" t="s">
        <v>1846</v>
      </c>
      <c r="G580" s="5" t="s">
        <v>1847</v>
      </c>
      <c r="H580" s="5" t="s">
        <v>1848</v>
      </c>
      <c r="I580" s="5" t="s">
        <v>1887</v>
      </c>
      <c r="J580" s="5" t="s">
        <v>1678</v>
      </c>
      <c r="K580" s="5" t="s">
        <v>1872</v>
      </c>
      <c r="L580" s="5" t="s">
        <v>1680</v>
      </c>
      <c r="M580" s="5" t="s">
        <v>1681</v>
      </c>
      <c r="N580" s="5" t="s">
        <v>1682</v>
      </c>
      <c r="O580" s="5" t="s">
        <v>1680</v>
      </c>
      <c r="P580" s="6">
        <v>6879</v>
      </c>
      <c r="Q580" s="6">
        <v>6879</v>
      </c>
      <c r="R580" s="6">
        <v>0</v>
      </c>
      <c r="S580" s="6">
        <v>0</v>
      </c>
      <c r="T580" s="6">
        <v>0</v>
      </c>
    </row>
    <row r="581" spans="1:20">
      <c r="A581" s="5" t="s">
        <v>1672</v>
      </c>
      <c r="B581" s="5" t="s">
        <v>1673</v>
      </c>
      <c r="C581" s="5" t="s">
        <v>1842</v>
      </c>
      <c r="D581" s="5" t="s">
        <v>514</v>
      </c>
      <c r="E581" s="5" t="s">
        <v>1849</v>
      </c>
      <c r="F581" s="5" t="s">
        <v>1850</v>
      </c>
      <c r="G581" s="5" t="s">
        <v>1849</v>
      </c>
      <c r="H581" s="5" t="s">
        <v>1850</v>
      </c>
      <c r="I581" s="5" t="s">
        <v>1887</v>
      </c>
      <c r="J581" s="5" t="s">
        <v>1678</v>
      </c>
      <c r="K581" s="5" t="s">
        <v>1872</v>
      </c>
      <c r="L581" s="5" t="s">
        <v>1680</v>
      </c>
      <c r="M581" s="5" t="s">
        <v>1681</v>
      </c>
      <c r="N581" s="5" t="s">
        <v>1682</v>
      </c>
      <c r="O581" s="5" t="s">
        <v>1680</v>
      </c>
      <c r="P581" s="6">
        <v>6879</v>
      </c>
      <c r="Q581" s="6">
        <v>6879</v>
      </c>
      <c r="R581" s="6">
        <v>0</v>
      </c>
      <c r="S581" s="6">
        <v>0</v>
      </c>
      <c r="T581" s="6">
        <v>0</v>
      </c>
    </row>
    <row r="582" spans="1:20">
      <c r="A582" s="5" t="s">
        <v>1672</v>
      </c>
      <c r="B582" s="5" t="s">
        <v>1673</v>
      </c>
      <c r="C582" s="5" t="s">
        <v>1842</v>
      </c>
      <c r="D582" s="5" t="s">
        <v>514</v>
      </c>
      <c r="E582" s="5" t="s">
        <v>1851</v>
      </c>
      <c r="F582" s="5" t="s">
        <v>1852</v>
      </c>
      <c r="G582" s="5" t="s">
        <v>1853</v>
      </c>
      <c r="H582" s="5" t="s">
        <v>1854</v>
      </c>
      <c r="I582" s="5" t="s">
        <v>1887</v>
      </c>
      <c r="J582" s="5" t="s">
        <v>1678</v>
      </c>
      <c r="K582" s="5" t="s">
        <v>1872</v>
      </c>
      <c r="L582" s="5" t="s">
        <v>1680</v>
      </c>
      <c r="M582" s="5" t="s">
        <v>1681</v>
      </c>
      <c r="N582" s="5" t="s">
        <v>1682</v>
      </c>
      <c r="O582" s="5" t="s">
        <v>1680</v>
      </c>
      <c r="P582" s="6">
        <v>6879</v>
      </c>
      <c r="Q582" s="6">
        <v>6879</v>
      </c>
      <c r="R582" s="6">
        <v>0</v>
      </c>
      <c r="S582" s="6">
        <v>0</v>
      </c>
      <c r="T582" s="6">
        <v>0</v>
      </c>
    </row>
    <row r="583" spans="1:20">
      <c r="A583" s="5" t="s">
        <v>1672</v>
      </c>
      <c r="B583" s="5" t="s">
        <v>1673</v>
      </c>
      <c r="C583" s="5" t="s">
        <v>1842</v>
      </c>
      <c r="D583" s="5" t="s">
        <v>514</v>
      </c>
      <c r="E583" s="5" t="s">
        <v>1855</v>
      </c>
      <c r="F583" s="5" t="s">
        <v>1856</v>
      </c>
      <c r="G583" s="5" t="s">
        <v>1857</v>
      </c>
      <c r="H583" s="5" t="s">
        <v>1858</v>
      </c>
      <c r="I583" s="5" t="s">
        <v>1887</v>
      </c>
      <c r="J583" s="5" t="s">
        <v>1678</v>
      </c>
      <c r="K583" s="5" t="s">
        <v>1872</v>
      </c>
      <c r="L583" s="5" t="s">
        <v>1680</v>
      </c>
      <c r="M583" s="5" t="s">
        <v>1681</v>
      </c>
      <c r="N583" s="5" t="s">
        <v>1682</v>
      </c>
      <c r="O583" s="5" t="s">
        <v>1680</v>
      </c>
      <c r="P583" s="6">
        <v>6879</v>
      </c>
      <c r="Q583" s="6">
        <v>6879</v>
      </c>
      <c r="R583" s="6">
        <v>0</v>
      </c>
      <c r="S583" s="6">
        <v>0</v>
      </c>
      <c r="T583" s="6">
        <v>0</v>
      </c>
    </row>
    <row r="584" spans="1:20">
      <c r="A584" s="5" t="s">
        <v>1672</v>
      </c>
      <c r="B584" s="5" t="s">
        <v>1673</v>
      </c>
      <c r="C584" s="5" t="s">
        <v>1842</v>
      </c>
      <c r="D584" s="5" t="s">
        <v>514</v>
      </c>
      <c r="E584" s="5" t="s">
        <v>1859</v>
      </c>
      <c r="F584" s="5" t="s">
        <v>1860</v>
      </c>
      <c r="G584" s="5" t="s">
        <v>1861</v>
      </c>
      <c r="H584" s="5" t="s">
        <v>1862</v>
      </c>
      <c r="I584" s="5" t="s">
        <v>1887</v>
      </c>
      <c r="J584" s="5" t="s">
        <v>1678</v>
      </c>
      <c r="K584" s="5" t="s">
        <v>1872</v>
      </c>
      <c r="L584" s="5" t="s">
        <v>1680</v>
      </c>
      <c r="M584" s="5" t="s">
        <v>1681</v>
      </c>
      <c r="N584" s="5" t="s">
        <v>1682</v>
      </c>
      <c r="O584" s="5" t="s">
        <v>1680</v>
      </c>
      <c r="P584" s="6">
        <v>6879</v>
      </c>
      <c r="Q584" s="6">
        <v>6879</v>
      </c>
      <c r="R584" s="6">
        <v>0</v>
      </c>
      <c r="S584" s="6">
        <v>0</v>
      </c>
      <c r="T584" s="6">
        <v>0</v>
      </c>
    </row>
    <row r="585" spans="1:20">
      <c r="A585" s="5" t="s">
        <v>1672</v>
      </c>
      <c r="B585" s="5" t="s">
        <v>1673</v>
      </c>
      <c r="C585" s="5" t="s">
        <v>1674</v>
      </c>
      <c r="D585" s="5" t="s">
        <v>2</v>
      </c>
      <c r="E585" s="5" t="s">
        <v>1675</v>
      </c>
      <c r="F585" s="5" t="s">
        <v>1676</v>
      </c>
      <c r="G585" s="5" t="s">
        <v>1675</v>
      </c>
      <c r="H585" s="5" t="s">
        <v>1676</v>
      </c>
      <c r="I585" s="5" t="s">
        <v>1888</v>
      </c>
      <c r="J585" s="5" t="s">
        <v>1678</v>
      </c>
      <c r="K585" s="5" t="s">
        <v>1872</v>
      </c>
      <c r="L585" s="5" t="s">
        <v>1680</v>
      </c>
      <c r="M585" s="5" t="s">
        <v>1681</v>
      </c>
      <c r="N585" s="5" t="s">
        <v>1682</v>
      </c>
      <c r="O585" s="5" t="s">
        <v>1680</v>
      </c>
      <c r="P585" s="6">
        <v>4029</v>
      </c>
      <c r="Q585" s="6">
        <v>4029</v>
      </c>
      <c r="R585" s="6">
        <v>0</v>
      </c>
      <c r="S585" s="6">
        <v>0</v>
      </c>
      <c r="T585" s="6">
        <v>0</v>
      </c>
    </row>
    <row r="586" spans="1:20">
      <c r="A586" s="5" t="s">
        <v>1672</v>
      </c>
      <c r="B586" s="5" t="s">
        <v>1673</v>
      </c>
      <c r="C586" s="5" t="s">
        <v>1674</v>
      </c>
      <c r="D586" s="5" t="s">
        <v>2</v>
      </c>
      <c r="E586" s="5" t="s">
        <v>1683</v>
      </c>
      <c r="F586" s="5" t="s">
        <v>1684</v>
      </c>
      <c r="G586" s="5" t="s">
        <v>1683</v>
      </c>
      <c r="H586" s="5" t="s">
        <v>1684</v>
      </c>
      <c r="I586" s="5" t="s">
        <v>1888</v>
      </c>
      <c r="J586" s="5" t="s">
        <v>1678</v>
      </c>
      <c r="K586" s="5" t="s">
        <v>1872</v>
      </c>
      <c r="L586" s="5" t="s">
        <v>1680</v>
      </c>
      <c r="M586" s="5" t="s">
        <v>1681</v>
      </c>
      <c r="N586" s="5" t="s">
        <v>1682</v>
      </c>
      <c r="O586" s="5" t="s">
        <v>1680</v>
      </c>
      <c r="P586" s="6">
        <v>4029</v>
      </c>
      <c r="Q586" s="6">
        <v>4029</v>
      </c>
      <c r="R586" s="6">
        <v>0</v>
      </c>
      <c r="S586" s="6">
        <v>0</v>
      </c>
      <c r="T586" s="6">
        <v>0</v>
      </c>
    </row>
    <row r="587" spans="1:20">
      <c r="A587" s="5" t="s">
        <v>1672</v>
      </c>
      <c r="B587" s="5" t="s">
        <v>1673</v>
      </c>
      <c r="C587" s="5" t="s">
        <v>1674</v>
      </c>
      <c r="D587" s="5" t="s">
        <v>2</v>
      </c>
      <c r="E587" s="5" t="s">
        <v>1685</v>
      </c>
      <c r="F587" s="5" t="s">
        <v>1686</v>
      </c>
      <c r="G587" s="5" t="s">
        <v>1685</v>
      </c>
      <c r="H587" s="5" t="s">
        <v>1686</v>
      </c>
      <c r="I587" s="5" t="s">
        <v>1888</v>
      </c>
      <c r="J587" s="5" t="s">
        <v>1678</v>
      </c>
      <c r="K587" s="5" t="s">
        <v>1872</v>
      </c>
      <c r="L587" s="5" t="s">
        <v>1680</v>
      </c>
      <c r="M587" s="5" t="s">
        <v>1681</v>
      </c>
      <c r="N587" s="5" t="s">
        <v>1682</v>
      </c>
      <c r="O587" s="5" t="s">
        <v>1680</v>
      </c>
      <c r="P587" s="6">
        <v>4029</v>
      </c>
      <c r="Q587" s="6">
        <v>4029</v>
      </c>
      <c r="R587" s="6">
        <v>0</v>
      </c>
      <c r="S587" s="6">
        <v>0</v>
      </c>
      <c r="T587" s="6">
        <v>0</v>
      </c>
    </row>
    <row r="588" spans="1:20">
      <c r="A588" s="5" t="s">
        <v>1672</v>
      </c>
      <c r="B588" s="5" t="s">
        <v>1673</v>
      </c>
      <c r="C588" s="5" t="s">
        <v>1674</v>
      </c>
      <c r="D588" s="5" t="s">
        <v>2</v>
      </c>
      <c r="E588" s="5" t="s">
        <v>1687</v>
      </c>
      <c r="F588" s="5" t="s">
        <v>1688</v>
      </c>
      <c r="G588" s="5" t="s">
        <v>1687</v>
      </c>
      <c r="H588" s="5" t="s">
        <v>1688</v>
      </c>
      <c r="I588" s="5" t="s">
        <v>1888</v>
      </c>
      <c r="J588" s="5" t="s">
        <v>1678</v>
      </c>
      <c r="K588" s="5" t="s">
        <v>1872</v>
      </c>
      <c r="L588" s="5" t="s">
        <v>1680</v>
      </c>
      <c r="M588" s="5" t="s">
        <v>1681</v>
      </c>
      <c r="N588" s="5" t="s">
        <v>1682</v>
      </c>
      <c r="O588" s="5" t="s">
        <v>1680</v>
      </c>
      <c r="P588" s="6">
        <v>4029</v>
      </c>
      <c r="Q588" s="6">
        <v>4029</v>
      </c>
      <c r="R588" s="6">
        <v>0</v>
      </c>
      <c r="S588" s="6">
        <v>0</v>
      </c>
      <c r="T588" s="6">
        <v>0</v>
      </c>
    </row>
    <row r="589" spans="1:20">
      <c r="A589" s="5" t="s">
        <v>1672</v>
      </c>
      <c r="B589" s="5" t="s">
        <v>1673</v>
      </c>
      <c r="C589" s="5" t="s">
        <v>1674</v>
      </c>
      <c r="D589" s="5" t="s">
        <v>2</v>
      </c>
      <c r="E589" s="5" t="s">
        <v>1689</v>
      </c>
      <c r="F589" s="5" t="s">
        <v>1690</v>
      </c>
      <c r="G589" s="5" t="s">
        <v>1689</v>
      </c>
      <c r="H589" s="5" t="s">
        <v>1690</v>
      </c>
      <c r="I589" s="5" t="s">
        <v>1888</v>
      </c>
      <c r="J589" s="5" t="s">
        <v>1678</v>
      </c>
      <c r="K589" s="5" t="s">
        <v>1872</v>
      </c>
      <c r="L589" s="5" t="s">
        <v>1680</v>
      </c>
      <c r="M589" s="5" t="s">
        <v>1681</v>
      </c>
      <c r="N589" s="5" t="s">
        <v>1682</v>
      </c>
      <c r="O589" s="5" t="s">
        <v>1680</v>
      </c>
      <c r="P589" s="6">
        <v>4029</v>
      </c>
      <c r="Q589" s="6">
        <v>4029</v>
      </c>
      <c r="R589" s="6">
        <v>0</v>
      </c>
      <c r="S589" s="6">
        <v>0</v>
      </c>
      <c r="T589" s="6">
        <v>0</v>
      </c>
    </row>
    <row r="590" spans="1:20">
      <c r="A590" s="5" t="s">
        <v>1672</v>
      </c>
      <c r="B590" s="5" t="s">
        <v>1673</v>
      </c>
      <c r="C590" s="5" t="s">
        <v>1674</v>
      </c>
      <c r="D590" s="5" t="s">
        <v>2</v>
      </c>
      <c r="E590" s="5" t="s">
        <v>1691</v>
      </c>
      <c r="F590" s="5" t="s">
        <v>1692</v>
      </c>
      <c r="G590" s="5" t="s">
        <v>1693</v>
      </c>
      <c r="H590" s="5" t="s">
        <v>1694</v>
      </c>
      <c r="I590" s="5" t="s">
        <v>1888</v>
      </c>
      <c r="J590" s="5" t="s">
        <v>1678</v>
      </c>
      <c r="K590" s="5" t="s">
        <v>1872</v>
      </c>
      <c r="L590" s="5" t="s">
        <v>1680</v>
      </c>
      <c r="M590" s="5" t="s">
        <v>1681</v>
      </c>
      <c r="N590" s="5" t="s">
        <v>1682</v>
      </c>
      <c r="O590" s="5" t="s">
        <v>1680</v>
      </c>
      <c r="P590" s="6">
        <v>4029</v>
      </c>
      <c r="Q590" s="6">
        <v>4029</v>
      </c>
      <c r="R590" s="6">
        <v>0</v>
      </c>
      <c r="S590" s="6">
        <v>0</v>
      </c>
      <c r="T590" s="6">
        <v>0</v>
      </c>
    </row>
    <row r="591" spans="1:20">
      <c r="A591" s="5" t="s">
        <v>1672</v>
      </c>
      <c r="B591" s="5" t="s">
        <v>1673</v>
      </c>
      <c r="C591" s="5" t="s">
        <v>1674</v>
      </c>
      <c r="D591" s="5" t="s">
        <v>2</v>
      </c>
      <c r="E591" s="5" t="s">
        <v>1695</v>
      </c>
      <c r="F591" s="5" t="s">
        <v>1696</v>
      </c>
      <c r="G591" s="5" t="s">
        <v>1697</v>
      </c>
      <c r="H591" s="5" t="s">
        <v>1698</v>
      </c>
      <c r="I591" s="5" t="s">
        <v>1888</v>
      </c>
      <c r="J591" s="5" t="s">
        <v>1678</v>
      </c>
      <c r="K591" s="5" t="s">
        <v>1872</v>
      </c>
      <c r="L591" s="5" t="s">
        <v>1680</v>
      </c>
      <c r="M591" s="5" t="s">
        <v>1681</v>
      </c>
      <c r="N591" s="5" t="s">
        <v>1682</v>
      </c>
      <c r="O591" s="5" t="s">
        <v>1680</v>
      </c>
      <c r="P591" s="6">
        <v>4029</v>
      </c>
      <c r="Q591" s="6">
        <v>4029</v>
      </c>
      <c r="R591" s="6">
        <v>0</v>
      </c>
      <c r="S591" s="6">
        <v>0</v>
      </c>
      <c r="T591" s="6">
        <v>0</v>
      </c>
    </row>
    <row r="592" spans="1:20">
      <c r="A592" s="5" t="s">
        <v>1672</v>
      </c>
      <c r="B592" s="5" t="s">
        <v>1673</v>
      </c>
      <c r="C592" s="5" t="s">
        <v>1674</v>
      </c>
      <c r="D592" s="5" t="s">
        <v>2</v>
      </c>
      <c r="E592" s="5" t="s">
        <v>1699</v>
      </c>
      <c r="F592" s="5" t="s">
        <v>1700</v>
      </c>
      <c r="G592" s="5" t="s">
        <v>1699</v>
      </c>
      <c r="H592" s="5" t="s">
        <v>1700</v>
      </c>
      <c r="I592" s="5" t="s">
        <v>1888</v>
      </c>
      <c r="J592" s="5" t="s">
        <v>1678</v>
      </c>
      <c r="K592" s="5" t="s">
        <v>1872</v>
      </c>
      <c r="L592" s="5" t="s">
        <v>1680</v>
      </c>
      <c r="M592" s="5" t="s">
        <v>1681</v>
      </c>
      <c r="N592" s="5" t="s">
        <v>1682</v>
      </c>
      <c r="O592" s="5" t="s">
        <v>1680</v>
      </c>
      <c r="P592" s="6">
        <v>4029</v>
      </c>
      <c r="Q592" s="6">
        <v>4029</v>
      </c>
      <c r="R592" s="6">
        <v>0</v>
      </c>
      <c r="S592" s="6">
        <v>0</v>
      </c>
      <c r="T592" s="6">
        <v>0</v>
      </c>
    </row>
    <row r="593" spans="1:20">
      <c r="A593" s="5" t="s">
        <v>1672</v>
      </c>
      <c r="B593" s="5" t="s">
        <v>1673</v>
      </c>
      <c r="C593" s="5" t="s">
        <v>1674</v>
      </c>
      <c r="D593" s="5" t="s">
        <v>2</v>
      </c>
      <c r="E593" s="5" t="s">
        <v>1701</v>
      </c>
      <c r="F593" s="5" t="s">
        <v>1702</v>
      </c>
      <c r="G593" s="5" t="s">
        <v>1701</v>
      </c>
      <c r="H593" s="5" t="s">
        <v>1702</v>
      </c>
      <c r="I593" s="5" t="s">
        <v>1888</v>
      </c>
      <c r="J593" s="5" t="s">
        <v>1678</v>
      </c>
      <c r="K593" s="5" t="s">
        <v>1872</v>
      </c>
      <c r="L593" s="5" t="s">
        <v>1680</v>
      </c>
      <c r="M593" s="5" t="s">
        <v>1681</v>
      </c>
      <c r="N593" s="5" t="s">
        <v>1682</v>
      </c>
      <c r="O593" s="5" t="s">
        <v>1680</v>
      </c>
      <c r="P593" s="6">
        <v>4029</v>
      </c>
      <c r="Q593" s="6">
        <v>4029</v>
      </c>
      <c r="R593" s="6">
        <v>0</v>
      </c>
      <c r="S593" s="6">
        <v>0</v>
      </c>
      <c r="T593" s="6">
        <v>0</v>
      </c>
    </row>
    <row r="594" spans="1:20">
      <c r="A594" s="5" t="s">
        <v>1672</v>
      </c>
      <c r="B594" s="5" t="s">
        <v>1673</v>
      </c>
      <c r="C594" s="5" t="s">
        <v>1674</v>
      </c>
      <c r="D594" s="5" t="s">
        <v>2</v>
      </c>
      <c r="E594" s="5" t="s">
        <v>1703</v>
      </c>
      <c r="F594" s="5" t="s">
        <v>1704</v>
      </c>
      <c r="G594" s="5" t="s">
        <v>1705</v>
      </c>
      <c r="H594" s="5" t="s">
        <v>1706</v>
      </c>
      <c r="I594" s="5" t="s">
        <v>1888</v>
      </c>
      <c r="J594" s="5" t="s">
        <v>1678</v>
      </c>
      <c r="K594" s="5" t="s">
        <v>1872</v>
      </c>
      <c r="L594" s="5" t="s">
        <v>1680</v>
      </c>
      <c r="M594" s="5" t="s">
        <v>1681</v>
      </c>
      <c r="N594" s="5" t="s">
        <v>1682</v>
      </c>
      <c r="O594" s="5" t="s">
        <v>1680</v>
      </c>
      <c r="P594" s="6">
        <v>4029</v>
      </c>
      <c r="Q594" s="6">
        <v>4029</v>
      </c>
      <c r="R594" s="6">
        <v>0</v>
      </c>
      <c r="S594" s="6">
        <v>0</v>
      </c>
      <c r="T594" s="6">
        <v>0</v>
      </c>
    </row>
    <row r="595" spans="1:20">
      <c r="A595" s="5" t="s">
        <v>1672</v>
      </c>
      <c r="B595" s="5" t="s">
        <v>1673</v>
      </c>
      <c r="C595" s="5" t="s">
        <v>1674</v>
      </c>
      <c r="D595" s="5" t="s">
        <v>2</v>
      </c>
      <c r="E595" s="5" t="s">
        <v>1707</v>
      </c>
      <c r="F595" s="5" t="s">
        <v>1708</v>
      </c>
      <c r="G595" s="5" t="s">
        <v>1707</v>
      </c>
      <c r="H595" s="5" t="s">
        <v>1708</v>
      </c>
      <c r="I595" s="5" t="s">
        <v>1888</v>
      </c>
      <c r="J595" s="5" t="s">
        <v>1678</v>
      </c>
      <c r="K595" s="5" t="s">
        <v>1872</v>
      </c>
      <c r="L595" s="5" t="s">
        <v>1680</v>
      </c>
      <c r="M595" s="5" t="s">
        <v>1681</v>
      </c>
      <c r="N595" s="5" t="s">
        <v>1682</v>
      </c>
      <c r="O595" s="5" t="s">
        <v>1680</v>
      </c>
      <c r="P595" s="6">
        <v>4029</v>
      </c>
      <c r="Q595" s="6">
        <v>4029</v>
      </c>
      <c r="R595" s="6">
        <v>0</v>
      </c>
      <c r="S595" s="6">
        <v>0</v>
      </c>
      <c r="T595" s="6">
        <v>0</v>
      </c>
    </row>
    <row r="596" spans="1:20">
      <c r="A596" s="5" t="s">
        <v>1672</v>
      </c>
      <c r="B596" s="5" t="s">
        <v>1673</v>
      </c>
      <c r="C596" s="5" t="s">
        <v>1674</v>
      </c>
      <c r="D596" s="5" t="s">
        <v>2</v>
      </c>
      <c r="E596" s="5" t="s">
        <v>1709</v>
      </c>
      <c r="F596" s="5" t="s">
        <v>1710</v>
      </c>
      <c r="G596" s="5" t="s">
        <v>1709</v>
      </c>
      <c r="H596" s="5" t="s">
        <v>1710</v>
      </c>
      <c r="I596" s="5" t="s">
        <v>1888</v>
      </c>
      <c r="J596" s="5" t="s">
        <v>1678</v>
      </c>
      <c r="K596" s="5" t="s">
        <v>1872</v>
      </c>
      <c r="L596" s="5" t="s">
        <v>1680</v>
      </c>
      <c r="M596" s="5" t="s">
        <v>1681</v>
      </c>
      <c r="N596" s="5" t="s">
        <v>1682</v>
      </c>
      <c r="O596" s="5" t="s">
        <v>1680</v>
      </c>
      <c r="P596" s="6">
        <v>4029</v>
      </c>
      <c r="Q596" s="6">
        <v>4029</v>
      </c>
      <c r="R596" s="6">
        <v>0</v>
      </c>
      <c r="S596" s="6">
        <v>0</v>
      </c>
      <c r="T596" s="6">
        <v>0</v>
      </c>
    </row>
    <row r="597" spans="1:20">
      <c r="A597" s="5" t="s">
        <v>1672</v>
      </c>
      <c r="B597" s="5" t="s">
        <v>1673</v>
      </c>
      <c r="C597" s="5" t="s">
        <v>1674</v>
      </c>
      <c r="D597" s="5" t="s">
        <v>2</v>
      </c>
      <c r="E597" s="5" t="s">
        <v>1711</v>
      </c>
      <c r="F597" s="5" t="s">
        <v>1712</v>
      </c>
      <c r="G597" s="5" t="s">
        <v>1711</v>
      </c>
      <c r="H597" s="5" t="s">
        <v>1712</v>
      </c>
      <c r="I597" s="5" t="s">
        <v>1888</v>
      </c>
      <c r="J597" s="5" t="s">
        <v>1678</v>
      </c>
      <c r="K597" s="5" t="s">
        <v>1872</v>
      </c>
      <c r="L597" s="5" t="s">
        <v>1680</v>
      </c>
      <c r="M597" s="5" t="s">
        <v>1681</v>
      </c>
      <c r="N597" s="5" t="s">
        <v>1682</v>
      </c>
      <c r="O597" s="5" t="s">
        <v>1680</v>
      </c>
      <c r="P597" s="6">
        <v>4029</v>
      </c>
      <c r="Q597" s="6">
        <v>4029</v>
      </c>
      <c r="R597" s="6">
        <v>0</v>
      </c>
      <c r="S597" s="6">
        <v>0</v>
      </c>
      <c r="T597" s="6">
        <v>0</v>
      </c>
    </row>
    <row r="598" spans="1:20">
      <c r="A598" s="5" t="s">
        <v>1672</v>
      </c>
      <c r="B598" s="5" t="s">
        <v>1673</v>
      </c>
      <c r="C598" s="5" t="s">
        <v>1674</v>
      </c>
      <c r="D598" s="5" t="s">
        <v>2</v>
      </c>
      <c r="E598" s="5" t="s">
        <v>1713</v>
      </c>
      <c r="F598" s="5" t="s">
        <v>1714</v>
      </c>
      <c r="G598" s="5" t="s">
        <v>1713</v>
      </c>
      <c r="H598" s="5" t="s">
        <v>1714</v>
      </c>
      <c r="I598" s="5" t="s">
        <v>1888</v>
      </c>
      <c r="J598" s="5" t="s">
        <v>1678</v>
      </c>
      <c r="K598" s="5" t="s">
        <v>1872</v>
      </c>
      <c r="L598" s="5" t="s">
        <v>1680</v>
      </c>
      <c r="M598" s="5" t="s">
        <v>1681</v>
      </c>
      <c r="N598" s="5" t="s">
        <v>1682</v>
      </c>
      <c r="O598" s="5" t="s">
        <v>1680</v>
      </c>
      <c r="P598" s="6">
        <v>4029</v>
      </c>
      <c r="Q598" s="6">
        <v>4029</v>
      </c>
      <c r="R598" s="6">
        <v>0</v>
      </c>
      <c r="S598" s="6">
        <v>0</v>
      </c>
      <c r="T598" s="6">
        <v>0</v>
      </c>
    </row>
    <row r="599" spans="1:20">
      <c r="A599" s="5" t="s">
        <v>1672</v>
      </c>
      <c r="B599" s="5" t="s">
        <v>1673</v>
      </c>
      <c r="C599" s="5" t="s">
        <v>1715</v>
      </c>
      <c r="D599" s="5" t="s">
        <v>325</v>
      </c>
      <c r="E599" s="5" t="s">
        <v>1716</v>
      </c>
      <c r="F599" s="5" t="s">
        <v>1717</v>
      </c>
      <c r="G599" s="5" t="s">
        <v>1716</v>
      </c>
      <c r="H599" s="5" t="s">
        <v>1717</v>
      </c>
      <c r="I599" s="5" t="s">
        <v>1888</v>
      </c>
      <c r="J599" s="5" t="s">
        <v>1678</v>
      </c>
      <c r="K599" s="5" t="s">
        <v>1872</v>
      </c>
      <c r="L599" s="5" t="s">
        <v>1680</v>
      </c>
      <c r="M599" s="5" t="s">
        <v>1681</v>
      </c>
      <c r="N599" s="5" t="s">
        <v>1682</v>
      </c>
      <c r="O599" s="5" t="s">
        <v>1680</v>
      </c>
      <c r="P599" s="6">
        <v>577</v>
      </c>
      <c r="Q599" s="6">
        <v>577</v>
      </c>
      <c r="R599" s="6">
        <v>0</v>
      </c>
      <c r="S599" s="6">
        <v>0</v>
      </c>
      <c r="T599" s="6">
        <v>0</v>
      </c>
    </row>
    <row r="600" spans="1:20">
      <c r="A600" s="5" t="s">
        <v>1672</v>
      </c>
      <c r="B600" s="5" t="s">
        <v>1673</v>
      </c>
      <c r="C600" s="5" t="s">
        <v>1715</v>
      </c>
      <c r="D600" s="5" t="s">
        <v>325</v>
      </c>
      <c r="E600" s="5" t="s">
        <v>1718</v>
      </c>
      <c r="F600" s="5" t="s">
        <v>1719</v>
      </c>
      <c r="G600" s="5" t="s">
        <v>1718</v>
      </c>
      <c r="H600" s="5" t="s">
        <v>1719</v>
      </c>
      <c r="I600" s="5" t="s">
        <v>1888</v>
      </c>
      <c r="J600" s="5" t="s">
        <v>1678</v>
      </c>
      <c r="K600" s="5" t="s">
        <v>1872</v>
      </c>
      <c r="L600" s="5" t="s">
        <v>1680</v>
      </c>
      <c r="M600" s="5" t="s">
        <v>1681</v>
      </c>
      <c r="N600" s="5" t="s">
        <v>1682</v>
      </c>
      <c r="O600" s="5" t="s">
        <v>1680</v>
      </c>
      <c r="P600" s="6">
        <v>577</v>
      </c>
      <c r="Q600" s="6">
        <v>577</v>
      </c>
      <c r="R600" s="6">
        <v>0</v>
      </c>
      <c r="S600" s="6">
        <v>0</v>
      </c>
      <c r="T600" s="6">
        <v>0</v>
      </c>
    </row>
    <row r="601" spans="1:20">
      <c r="A601" s="5" t="s">
        <v>1672</v>
      </c>
      <c r="B601" s="5" t="s">
        <v>1673</v>
      </c>
      <c r="C601" s="5" t="s">
        <v>1715</v>
      </c>
      <c r="D601" s="5" t="s">
        <v>325</v>
      </c>
      <c r="E601" s="5" t="s">
        <v>1720</v>
      </c>
      <c r="F601" s="5" t="s">
        <v>1721</v>
      </c>
      <c r="G601" s="5" t="s">
        <v>1720</v>
      </c>
      <c r="H601" s="5" t="s">
        <v>1721</v>
      </c>
      <c r="I601" s="5" t="s">
        <v>1888</v>
      </c>
      <c r="J601" s="5" t="s">
        <v>1678</v>
      </c>
      <c r="K601" s="5" t="s">
        <v>1872</v>
      </c>
      <c r="L601" s="5" t="s">
        <v>1680</v>
      </c>
      <c r="M601" s="5" t="s">
        <v>1681</v>
      </c>
      <c r="N601" s="5" t="s">
        <v>1682</v>
      </c>
      <c r="O601" s="5" t="s">
        <v>1680</v>
      </c>
      <c r="P601" s="6">
        <v>577</v>
      </c>
      <c r="Q601" s="6">
        <v>577</v>
      </c>
      <c r="R601" s="6">
        <v>0</v>
      </c>
      <c r="S601" s="6">
        <v>0</v>
      </c>
      <c r="T601" s="6">
        <v>0</v>
      </c>
    </row>
    <row r="602" spans="1:20">
      <c r="A602" s="5" t="s">
        <v>1672</v>
      </c>
      <c r="B602" s="5" t="s">
        <v>1673</v>
      </c>
      <c r="C602" s="5" t="s">
        <v>1715</v>
      </c>
      <c r="D602" s="5" t="s">
        <v>325</v>
      </c>
      <c r="E602" s="5" t="s">
        <v>1722</v>
      </c>
      <c r="F602" s="5" t="s">
        <v>1723</v>
      </c>
      <c r="G602" s="5" t="s">
        <v>1724</v>
      </c>
      <c r="H602" s="5" t="s">
        <v>1725</v>
      </c>
      <c r="I602" s="5" t="s">
        <v>1888</v>
      </c>
      <c r="J602" s="5" t="s">
        <v>1678</v>
      </c>
      <c r="K602" s="5" t="s">
        <v>1872</v>
      </c>
      <c r="L602" s="5" t="s">
        <v>1680</v>
      </c>
      <c r="M602" s="5" t="s">
        <v>1681</v>
      </c>
      <c r="N602" s="5" t="s">
        <v>1682</v>
      </c>
      <c r="O602" s="5" t="s">
        <v>1680</v>
      </c>
      <c r="P602" s="6">
        <v>577</v>
      </c>
      <c r="Q602" s="6">
        <v>577</v>
      </c>
      <c r="R602" s="6">
        <v>0</v>
      </c>
      <c r="S602" s="6">
        <v>0</v>
      </c>
      <c r="T602" s="6">
        <v>0</v>
      </c>
    </row>
    <row r="603" spans="1:20">
      <c r="A603" s="5" t="s">
        <v>1672</v>
      </c>
      <c r="B603" s="5" t="s">
        <v>1673</v>
      </c>
      <c r="C603" s="5" t="s">
        <v>1715</v>
      </c>
      <c r="D603" s="5" t="s">
        <v>325</v>
      </c>
      <c r="E603" s="5" t="s">
        <v>1726</v>
      </c>
      <c r="F603" s="5" t="s">
        <v>1727</v>
      </c>
      <c r="G603" s="5" t="s">
        <v>1726</v>
      </c>
      <c r="H603" s="5" t="s">
        <v>1727</v>
      </c>
      <c r="I603" s="5" t="s">
        <v>1888</v>
      </c>
      <c r="J603" s="5" t="s">
        <v>1678</v>
      </c>
      <c r="K603" s="5" t="s">
        <v>1872</v>
      </c>
      <c r="L603" s="5" t="s">
        <v>1680</v>
      </c>
      <c r="M603" s="5" t="s">
        <v>1681</v>
      </c>
      <c r="N603" s="5" t="s">
        <v>1682</v>
      </c>
      <c r="O603" s="5" t="s">
        <v>1680</v>
      </c>
      <c r="P603" s="6">
        <v>577</v>
      </c>
      <c r="Q603" s="6">
        <v>577</v>
      </c>
      <c r="R603" s="6">
        <v>0</v>
      </c>
      <c r="S603" s="6">
        <v>0</v>
      </c>
      <c r="T603" s="6">
        <v>0</v>
      </c>
    </row>
    <row r="604" spans="1:20">
      <c r="A604" s="5" t="s">
        <v>1672</v>
      </c>
      <c r="B604" s="5" t="s">
        <v>1673</v>
      </c>
      <c r="C604" s="5" t="s">
        <v>1715</v>
      </c>
      <c r="D604" s="5" t="s">
        <v>325</v>
      </c>
      <c r="E604" s="5" t="s">
        <v>1728</v>
      </c>
      <c r="F604" s="5" t="s">
        <v>1729</v>
      </c>
      <c r="G604" s="5" t="s">
        <v>1728</v>
      </c>
      <c r="H604" s="5" t="s">
        <v>1729</v>
      </c>
      <c r="I604" s="5" t="s">
        <v>1888</v>
      </c>
      <c r="J604" s="5" t="s">
        <v>1678</v>
      </c>
      <c r="K604" s="5" t="s">
        <v>1872</v>
      </c>
      <c r="L604" s="5" t="s">
        <v>1680</v>
      </c>
      <c r="M604" s="5" t="s">
        <v>1681</v>
      </c>
      <c r="N604" s="5" t="s">
        <v>1682</v>
      </c>
      <c r="O604" s="5" t="s">
        <v>1680</v>
      </c>
      <c r="P604" s="6">
        <v>577</v>
      </c>
      <c r="Q604" s="6">
        <v>577</v>
      </c>
      <c r="R604" s="6">
        <v>0</v>
      </c>
      <c r="S604" s="6">
        <v>0</v>
      </c>
      <c r="T604" s="6">
        <v>0</v>
      </c>
    </row>
    <row r="605" spans="1:20">
      <c r="A605" s="5" t="s">
        <v>1672</v>
      </c>
      <c r="B605" s="5" t="s">
        <v>1673</v>
      </c>
      <c r="C605" s="5" t="s">
        <v>1715</v>
      </c>
      <c r="D605" s="5" t="s">
        <v>325</v>
      </c>
      <c r="E605" s="5" t="s">
        <v>1730</v>
      </c>
      <c r="F605" s="5" t="s">
        <v>1731</v>
      </c>
      <c r="G605" s="5" t="s">
        <v>1730</v>
      </c>
      <c r="H605" s="5" t="s">
        <v>1731</v>
      </c>
      <c r="I605" s="5" t="s">
        <v>1888</v>
      </c>
      <c r="J605" s="5" t="s">
        <v>1678</v>
      </c>
      <c r="K605" s="5" t="s">
        <v>1872</v>
      </c>
      <c r="L605" s="5" t="s">
        <v>1680</v>
      </c>
      <c r="M605" s="5" t="s">
        <v>1681</v>
      </c>
      <c r="N605" s="5" t="s">
        <v>1682</v>
      </c>
      <c r="O605" s="5" t="s">
        <v>1680</v>
      </c>
      <c r="P605" s="6">
        <v>577</v>
      </c>
      <c r="Q605" s="6">
        <v>577</v>
      </c>
      <c r="R605" s="6">
        <v>0</v>
      </c>
      <c r="S605" s="6">
        <v>0</v>
      </c>
      <c r="T605" s="6">
        <v>0</v>
      </c>
    </row>
    <row r="606" spans="1:20">
      <c r="A606" s="5" t="s">
        <v>1672</v>
      </c>
      <c r="B606" s="5" t="s">
        <v>1673</v>
      </c>
      <c r="C606" s="5" t="s">
        <v>1715</v>
      </c>
      <c r="D606" s="5" t="s">
        <v>325</v>
      </c>
      <c r="E606" s="5" t="s">
        <v>1732</v>
      </c>
      <c r="F606" s="5" t="s">
        <v>1733</v>
      </c>
      <c r="G606" s="5" t="s">
        <v>1732</v>
      </c>
      <c r="H606" s="5" t="s">
        <v>1733</v>
      </c>
      <c r="I606" s="5" t="s">
        <v>1888</v>
      </c>
      <c r="J606" s="5" t="s">
        <v>1678</v>
      </c>
      <c r="K606" s="5" t="s">
        <v>1872</v>
      </c>
      <c r="L606" s="5" t="s">
        <v>1680</v>
      </c>
      <c r="M606" s="5" t="s">
        <v>1681</v>
      </c>
      <c r="N606" s="5" t="s">
        <v>1682</v>
      </c>
      <c r="O606" s="5" t="s">
        <v>1680</v>
      </c>
      <c r="P606" s="6">
        <v>577</v>
      </c>
      <c r="Q606" s="6">
        <v>577</v>
      </c>
      <c r="R606" s="6">
        <v>0</v>
      </c>
      <c r="S606" s="6">
        <v>0</v>
      </c>
      <c r="T606" s="6">
        <v>0</v>
      </c>
    </row>
    <row r="607" spans="1:20">
      <c r="A607" s="5" t="s">
        <v>1672</v>
      </c>
      <c r="B607" s="5" t="s">
        <v>1673</v>
      </c>
      <c r="C607" s="5" t="s">
        <v>1715</v>
      </c>
      <c r="D607" s="5" t="s">
        <v>325</v>
      </c>
      <c r="E607" s="5" t="s">
        <v>1734</v>
      </c>
      <c r="F607" s="5" t="s">
        <v>1735</v>
      </c>
      <c r="G607" s="5" t="s">
        <v>1734</v>
      </c>
      <c r="H607" s="5" t="s">
        <v>1735</v>
      </c>
      <c r="I607" s="5" t="s">
        <v>1888</v>
      </c>
      <c r="J607" s="5" t="s">
        <v>1678</v>
      </c>
      <c r="K607" s="5" t="s">
        <v>1872</v>
      </c>
      <c r="L607" s="5" t="s">
        <v>1680</v>
      </c>
      <c r="M607" s="5" t="s">
        <v>1681</v>
      </c>
      <c r="N607" s="5" t="s">
        <v>1682</v>
      </c>
      <c r="O607" s="5" t="s">
        <v>1680</v>
      </c>
      <c r="P607" s="6">
        <v>577</v>
      </c>
      <c r="Q607" s="6">
        <v>577</v>
      </c>
      <c r="R607" s="6">
        <v>0</v>
      </c>
      <c r="S607" s="6">
        <v>0</v>
      </c>
      <c r="T607" s="6">
        <v>0</v>
      </c>
    </row>
    <row r="608" spans="1:20">
      <c r="A608" s="5" t="s">
        <v>1672</v>
      </c>
      <c r="B608" s="5" t="s">
        <v>1673</v>
      </c>
      <c r="C608" s="5" t="s">
        <v>1715</v>
      </c>
      <c r="D608" s="5" t="s">
        <v>325</v>
      </c>
      <c r="E608" s="5" t="s">
        <v>1736</v>
      </c>
      <c r="F608" s="5" t="s">
        <v>1737</v>
      </c>
      <c r="G608" s="5" t="s">
        <v>1738</v>
      </c>
      <c r="H608" s="5" t="s">
        <v>1739</v>
      </c>
      <c r="I608" s="5" t="s">
        <v>1888</v>
      </c>
      <c r="J608" s="5" t="s">
        <v>1678</v>
      </c>
      <c r="K608" s="5" t="s">
        <v>1872</v>
      </c>
      <c r="L608" s="5" t="s">
        <v>1680</v>
      </c>
      <c r="M608" s="5" t="s">
        <v>1681</v>
      </c>
      <c r="N608" s="5" t="s">
        <v>1682</v>
      </c>
      <c r="O608" s="5" t="s">
        <v>1680</v>
      </c>
      <c r="P608" s="6">
        <v>577</v>
      </c>
      <c r="Q608" s="6">
        <v>577</v>
      </c>
      <c r="R608" s="6">
        <v>0</v>
      </c>
      <c r="S608" s="6">
        <v>0</v>
      </c>
      <c r="T608" s="6">
        <v>0</v>
      </c>
    </row>
    <row r="609" spans="1:20">
      <c r="A609" s="5" t="s">
        <v>1672</v>
      </c>
      <c r="B609" s="5" t="s">
        <v>1673</v>
      </c>
      <c r="C609" s="5" t="s">
        <v>1715</v>
      </c>
      <c r="D609" s="5" t="s">
        <v>325</v>
      </c>
      <c r="E609" s="5" t="s">
        <v>1740</v>
      </c>
      <c r="F609" s="5" t="s">
        <v>1741</v>
      </c>
      <c r="G609" s="5" t="s">
        <v>1740</v>
      </c>
      <c r="H609" s="5" t="s">
        <v>1741</v>
      </c>
      <c r="I609" s="5" t="s">
        <v>1888</v>
      </c>
      <c r="J609" s="5" t="s">
        <v>1678</v>
      </c>
      <c r="K609" s="5" t="s">
        <v>1872</v>
      </c>
      <c r="L609" s="5" t="s">
        <v>1680</v>
      </c>
      <c r="M609" s="5" t="s">
        <v>1681</v>
      </c>
      <c r="N609" s="5" t="s">
        <v>1682</v>
      </c>
      <c r="O609" s="5" t="s">
        <v>1680</v>
      </c>
      <c r="P609" s="6">
        <v>577</v>
      </c>
      <c r="Q609" s="6">
        <v>577</v>
      </c>
      <c r="R609" s="6">
        <v>0</v>
      </c>
      <c r="S609" s="6">
        <v>0</v>
      </c>
      <c r="T609" s="6">
        <v>0</v>
      </c>
    </row>
    <row r="610" spans="1:20">
      <c r="A610" s="5" t="s">
        <v>1672</v>
      </c>
      <c r="B610" s="5" t="s">
        <v>1673</v>
      </c>
      <c r="C610" s="5" t="s">
        <v>1715</v>
      </c>
      <c r="D610" s="5" t="s">
        <v>325</v>
      </c>
      <c r="E610" s="5" t="s">
        <v>1742</v>
      </c>
      <c r="F610" s="5" t="s">
        <v>1743</v>
      </c>
      <c r="G610" s="5" t="s">
        <v>1744</v>
      </c>
      <c r="H610" s="5" t="s">
        <v>1745</v>
      </c>
      <c r="I610" s="5" t="s">
        <v>1888</v>
      </c>
      <c r="J610" s="5" t="s">
        <v>1678</v>
      </c>
      <c r="K610" s="5" t="s">
        <v>1872</v>
      </c>
      <c r="L610" s="5" t="s">
        <v>1680</v>
      </c>
      <c r="M610" s="5" t="s">
        <v>1681</v>
      </c>
      <c r="N610" s="5" t="s">
        <v>1682</v>
      </c>
      <c r="O610" s="5" t="s">
        <v>1680</v>
      </c>
      <c r="P610" s="6">
        <v>577</v>
      </c>
      <c r="Q610" s="6">
        <v>577</v>
      </c>
      <c r="R610" s="6">
        <v>0</v>
      </c>
      <c r="S610" s="6">
        <v>0</v>
      </c>
      <c r="T610" s="6">
        <v>0</v>
      </c>
    </row>
    <row r="611" spans="1:20">
      <c r="A611" s="5" t="s">
        <v>1672</v>
      </c>
      <c r="B611" s="5" t="s">
        <v>1673</v>
      </c>
      <c r="C611" s="5" t="s">
        <v>1715</v>
      </c>
      <c r="D611" s="5" t="s">
        <v>325</v>
      </c>
      <c r="E611" s="5" t="s">
        <v>1746</v>
      </c>
      <c r="F611" s="5" t="s">
        <v>1747</v>
      </c>
      <c r="G611" s="5" t="s">
        <v>1748</v>
      </c>
      <c r="H611" s="5" t="s">
        <v>1749</v>
      </c>
      <c r="I611" s="5" t="s">
        <v>1888</v>
      </c>
      <c r="J611" s="5" t="s">
        <v>1678</v>
      </c>
      <c r="K611" s="5" t="s">
        <v>1872</v>
      </c>
      <c r="L611" s="5" t="s">
        <v>1680</v>
      </c>
      <c r="M611" s="5" t="s">
        <v>1681</v>
      </c>
      <c r="N611" s="5" t="s">
        <v>1682</v>
      </c>
      <c r="O611" s="5" t="s">
        <v>1680</v>
      </c>
      <c r="P611" s="6">
        <v>577</v>
      </c>
      <c r="Q611" s="6">
        <v>577</v>
      </c>
      <c r="R611" s="6">
        <v>0</v>
      </c>
      <c r="S611" s="6">
        <v>0</v>
      </c>
      <c r="T611" s="6">
        <v>0</v>
      </c>
    </row>
    <row r="612" spans="1:20">
      <c r="A612" s="5" t="s">
        <v>1672</v>
      </c>
      <c r="B612" s="5" t="s">
        <v>1673</v>
      </c>
      <c r="C612" s="5" t="s">
        <v>1715</v>
      </c>
      <c r="D612" s="5" t="s">
        <v>325</v>
      </c>
      <c r="E612" s="5" t="s">
        <v>1750</v>
      </c>
      <c r="F612" s="5" t="s">
        <v>1751</v>
      </c>
      <c r="G612" s="5" t="s">
        <v>1752</v>
      </c>
      <c r="H612" s="5" t="s">
        <v>1753</v>
      </c>
      <c r="I612" s="5" t="s">
        <v>1888</v>
      </c>
      <c r="J612" s="5" t="s">
        <v>1678</v>
      </c>
      <c r="K612" s="5" t="s">
        <v>1872</v>
      </c>
      <c r="L612" s="5" t="s">
        <v>1680</v>
      </c>
      <c r="M612" s="5" t="s">
        <v>1681</v>
      </c>
      <c r="N612" s="5" t="s">
        <v>1682</v>
      </c>
      <c r="O612" s="5" t="s">
        <v>1680</v>
      </c>
      <c r="P612" s="6">
        <v>577</v>
      </c>
      <c r="Q612" s="6">
        <v>577</v>
      </c>
      <c r="R612" s="6">
        <v>0</v>
      </c>
      <c r="S612" s="6">
        <v>0</v>
      </c>
      <c r="T612" s="6">
        <v>0</v>
      </c>
    </row>
    <row r="613" spans="1:20">
      <c r="A613" s="5" t="s">
        <v>1672</v>
      </c>
      <c r="B613" s="5" t="s">
        <v>1673</v>
      </c>
      <c r="C613" s="5" t="s">
        <v>1715</v>
      </c>
      <c r="D613" s="5" t="s">
        <v>325</v>
      </c>
      <c r="E613" s="5" t="s">
        <v>1754</v>
      </c>
      <c r="F613" s="5" t="s">
        <v>1755</v>
      </c>
      <c r="G613" s="5" t="s">
        <v>1756</v>
      </c>
      <c r="H613" s="5" t="s">
        <v>1757</v>
      </c>
      <c r="I613" s="5" t="s">
        <v>1888</v>
      </c>
      <c r="J613" s="5" t="s">
        <v>1678</v>
      </c>
      <c r="K613" s="5" t="s">
        <v>1872</v>
      </c>
      <c r="L613" s="5" t="s">
        <v>1680</v>
      </c>
      <c r="M613" s="5" t="s">
        <v>1681</v>
      </c>
      <c r="N613" s="5" t="s">
        <v>1682</v>
      </c>
      <c r="O613" s="5" t="s">
        <v>1680</v>
      </c>
      <c r="P613" s="6">
        <v>577</v>
      </c>
      <c r="Q613" s="6">
        <v>577</v>
      </c>
      <c r="R613" s="6">
        <v>0</v>
      </c>
      <c r="S613" s="6">
        <v>0</v>
      </c>
      <c r="T613" s="6">
        <v>0</v>
      </c>
    </row>
    <row r="614" spans="1:20">
      <c r="A614" s="5" t="s">
        <v>1672</v>
      </c>
      <c r="B614" s="5" t="s">
        <v>1673</v>
      </c>
      <c r="C614" s="5" t="s">
        <v>1715</v>
      </c>
      <c r="D614" s="5" t="s">
        <v>325</v>
      </c>
      <c r="E614" s="5" t="s">
        <v>1758</v>
      </c>
      <c r="F614" s="5" t="s">
        <v>1759</v>
      </c>
      <c r="G614" s="5" t="s">
        <v>1758</v>
      </c>
      <c r="H614" s="5" t="s">
        <v>1759</v>
      </c>
      <c r="I614" s="5" t="s">
        <v>1888</v>
      </c>
      <c r="J614" s="5" t="s">
        <v>1678</v>
      </c>
      <c r="K614" s="5" t="s">
        <v>1872</v>
      </c>
      <c r="L614" s="5" t="s">
        <v>1680</v>
      </c>
      <c r="M614" s="5" t="s">
        <v>1681</v>
      </c>
      <c r="N614" s="5" t="s">
        <v>1682</v>
      </c>
      <c r="O614" s="5" t="s">
        <v>1680</v>
      </c>
      <c r="P614" s="6">
        <v>577</v>
      </c>
      <c r="Q614" s="6">
        <v>577</v>
      </c>
      <c r="R614" s="6">
        <v>0</v>
      </c>
      <c r="S614" s="6">
        <v>0</v>
      </c>
      <c r="T614" s="6">
        <v>0</v>
      </c>
    </row>
    <row r="615" spans="1:20">
      <c r="A615" s="5" t="s">
        <v>1672</v>
      </c>
      <c r="B615" s="5" t="s">
        <v>1673</v>
      </c>
      <c r="C615" s="5" t="s">
        <v>1715</v>
      </c>
      <c r="D615" s="5" t="s">
        <v>325</v>
      </c>
      <c r="E615" s="5" t="s">
        <v>1760</v>
      </c>
      <c r="F615" s="5" t="s">
        <v>1761</v>
      </c>
      <c r="G615" s="5" t="s">
        <v>1760</v>
      </c>
      <c r="H615" s="5" t="s">
        <v>1761</v>
      </c>
      <c r="I615" s="5" t="s">
        <v>1888</v>
      </c>
      <c r="J615" s="5" t="s">
        <v>1678</v>
      </c>
      <c r="K615" s="5" t="s">
        <v>1872</v>
      </c>
      <c r="L615" s="5" t="s">
        <v>1680</v>
      </c>
      <c r="M615" s="5" t="s">
        <v>1681</v>
      </c>
      <c r="N615" s="5" t="s">
        <v>1682</v>
      </c>
      <c r="O615" s="5" t="s">
        <v>1680</v>
      </c>
      <c r="P615" s="6">
        <v>577</v>
      </c>
      <c r="Q615" s="6">
        <v>577</v>
      </c>
      <c r="R615" s="6">
        <v>0</v>
      </c>
      <c r="S615" s="6">
        <v>0</v>
      </c>
      <c r="T615" s="6">
        <v>0</v>
      </c>
    </row>
    <row r="616" spans="1:20">
      <c r="A616" s="5" t="s">
        <v>1672</v>
      </c>
      <c r="B616" s="5" t="s">
        <v>1673</v>
      </c>
      <c r="C616" s="5" t="s">
        <v>1715</v>
      </c>
      <c r="D616" s="5" t="s">
        <v>325</v>
      </c>
      <c r="E616" s="5" t="s">
        <v>1762</v>
      </c>
      <c r="F616" s="5" t="s">
        <v>1763</v>
      </c>
      <c r="G616" s="5" t="s">
        <v>1764</v>
      </c>
      <c r="H616" s="5" t="s">
        <v>1765</v>
      </c>
      <c r="I616" s="5" t="s">
        <v>1888</v>
      </c>
      <c r="J616" s="5" t="s">
        <v>1678</v>
      </c>
      <c r="K616" s="5" t="s">
        <v>1872</v>
      </c>
      <c r="L616" s="5" t="s">
        <v>1680</v>
      </c>
      <c r="M616" s="5" t="s">
        <v>1681</v>
      </c>
      <c r="N616" s="5" t="s">
        <v>1682</v>
      </c>
      <c r="O616" s="5" t="s">
        <v>1680</v>
      </c>
      <c r="P616" s="6">
        <v>577</v>
      </c>
      <c r="Q616" s="6">
        <v>577</v>
      </c>
      <c r="R616" s="6">
        <v>0</v>
      </c>
      <c r="S616" s="6">
        <v>0</v>
      </c>
      <c r="T616" s="6">
        <v>0</v>
      </c>
    </row>
    <row r="617" spans="1:20">
      <c r="A617" s="5" t="s">
        <v>1672</v>
      </c>
      <c r="B617" s="5" t="s">
        <v>1673</v>
      </c>
      <c r="C617" s="5" t="s">
        <v>1715</v>
      </c>
      <c r="D617" s="5" t="s">
        <v>325</v>
      </c>
      <c r="E617" s="5" t="s">
        <v>1766</v>
      </c>
      <c r="F617" s="5" t="s">
        <v>1767</v>
      </c>
      <c r="G617" s="5" t="s">
        <v>1766</v>
      </c>
      <c r="H617" s="5" t="s">
        <v>1767</v>
      </c>
      <c r="I617" s="5" t="s">
        <v>1888</v>
      </c>
      <c r="J617" s="5" t="s">
        <v>1678</v>
      </c>
      <c r="K617" s="5" t="s">
        <v>1872</v>
      </c>
      <c r="L617" s="5" t="s">
        <v>1680</v>
      </c>
      <c r="M617" s="5" t="s">
        <v>1681</v>
      </c>
      <c r="N617" s="5" t="s">
        <v>1682</v>
      </c>
      <c r="O617" s="5" t="s">
        <v>1680</v>
      </c>
      <c r="P617" s="6">
        <v>577</v>
      </c>
      <c r="Q617" s="6">
        <v>577</v>
      </c>
      <c r="R617" s="6">
        <v>0</v>
      </c>
      <c r="S617" s="6">
        <v>0</v>
      </c>
      <c r="T617" s="6">
        <v>0</v>
      </c>
    </row>
    <row r="618" spans="1:20">
      <c r="A618" s="5" t="s">
        <v>1672</v>
      </c>
      <c r="B618" s="5" t="s">
        <v>1673</v>
      </c>
      <c r="C618" s="5" t="s">
        <v>1715</v>
      </c>
      <c r="D618" s="5" t="s">
        <v>325</v>
      </c>
      <c r="E618" s="5" t="s">
        <v>1768</v>
      </c>
      <c r="F618" s="5" t="s">
        <v>1769</v>
      </c>
      <c r="G618" s="5" t="s">
        <v>1770</v>
      </c>
      <c r="H618" s="5" t="s">
        <v>1771</v>
      </c>
      <c r="I618" s="5" t="s">
        <v>1888</v>
      </c>
      <c r="J618" s="5" t="s">
        <v>1678</v>
      </c>
      <c r="K618" s="5" t="s">
        <v>1872</v>
      </c>
      <c r="L618" s="5" t="s">
        <v>1680</v>
      </c>
      <c r="M618" s="5" t="s">
        <v>1681</v>
      </c>
      <c r="N618" s="5" t="s">
        <v>1682</v>
      </c>
      <c r="O618" s="5" t="s">
        <v>1680</v>
      </c>
      <c r="P618" s="6">
        <v>577</v>
      </c>
      <c r="Q618" s="6">
        <v>577</v>
      </c>
      <c r="R618" s="6">
        <v>0</v>
      </c>
      <c r="S618" s="6">
        <v>0</v>
      </c>
      <c r="T618" s="6">
        <v>0</v>
      </c>
    </row>
    <row r="619" spans="1:20">
      <c r="A619" s="5" t="s">
        <v>1672</v>
      </c>
      <c r="B619" s="5" t="s">
        <v>1673</v>
      </c>
      <c r="C619" s="5" t="s">
        <v>1715</v>
      </c>
      <c r="D619" s="5" t="s">
        <v>325</v>
      </c>
      <c r="E619" s="5" t="s">
        <v>1772</v>
      </c>
      <c r="F619" s="5" t="s">
        <v>1773</v>
      </c>
      <c r="G619" s="5" t="s">
        <v>1774</v>
      </c>
      <c r="H619" s="5" t="s">
        <v>1775</v>
      </c>
      <c r="I619" s="5" t="s">
        <v>1888</v>
      </c>
      <c r="J619" s="5" t="s">
        <v>1678</v>
      </c>
      <c r="K619" s="5" t="s">
        <v>1872</v>
      </c>
      <c r="L619" s="5" t="s">
        <v>1680</v>
      </c>
      <c r="M619" s="5" t="s">
        <v>1681</v>
      </c>
      <c r="N619" s="5" t="s">
        <v>1682</v>
      </c>
      <c r="O619" s="5" t="s">
        <v>1680</v>
      </c>
      <c r="P619" s="6">
        <v>577</v>
      </c>
      <c r="Q619" s="6">
        <v>577</v>
      </c>
      <c r="R619" s="6">
        <v>0</v>
      </c>
      <c r="S619" s="6">
        <v>0</v>
      </c>
      <c r="T619" s="6">
        <v>0</v>
      </c>
    </row>
    <row r="620" spans="1:20">
      <c r="A620" s="5" t="s">
        <v>1672</v>
      </c>
      <c r="B620" s="5" t="s">
        <v>1673</v>
      </c>
      <c r="C620" s="5" t="s">
        <v>1715</v>
      </c>
      <c r="D620" s="5" t="s">
        <v>325</v>
      </c>
      <c r="E620" s="5" t="s">
        <v>1776</v>
      </c>
      <c r="F620" s="5" t="s">
        <v>1777</v>
      </c>
      <c r="G620" s="5" t="s">
        <v>1778</v>
      </c>
      <c r="H620" s="5" t="s">
        <v>1779</v>
      </c>
      <c r="I620" s="5" t="s">
        <v>1888</v>
      </c>
      <c r="J620" s="5" t="s">
        <v>1678</v>
      </c>
      <c r="K620" s="5" t="s">
        <v>1872</v>
      </c>
      <c r="L620" s="5" t="s">
        <v>1680</v>
      </c>
      <c r="M620" s="5" t="s">
        <v>1681</v>
      </c>
      <c r="N620" s="5" t="s">
        <v>1682</v>
      </c>
      <c r="O620" s="5" t="s">
        <v>1680</v>
      </c>
      <c r="P620" s="6">
        <v>577</v>
      </c>
      <c r="Q620" s="6">
        <v>577</v>
      </c>
      <c r="R620" s="6">
        <v>0</v>
      </c>
      <c r="S620" s="6">
        <v>0</v>
      </c>
      <c r="T620" s="6">
        <v>0</v>
      </c>
    </row>
    <row r="621" spans="1:20">
      <c r="A621" s="5" t="s">
        <v>1672</v>
      </c>
      <c r="B621" s="5" t="s">
        <v>1673</v>
      </c>
      <c r="C621" s="5" t="s">
        <v>1715</v>
      </c>
      <c r="D621" s="5" t="s">
        <v>325</v>
      </c>
      <c r="E621" s="5" t="s">
        <v>1780</v>
      </c>
      <c r="F621" s="5" t="s">
        <v>1781</v>
      </c>
      <c r="G621" s="5" t="s">
        <v>1780</v>
      </c>
      <c r="H621" s="5" t="s">
        <v>1781</v>
      </c>
      <c r="I621" s="5" t="s">
        <v>1888</v>
      </c>
      <c r="J621" s="5" t="s">
        <v>1678</v>
      </c>
      <c r="K621" s="5" t="s">
        <v>1872</v>
      </c>
      <c r="L621" s="5" t="s">
        <v>1680</v>
      </c>
      <c r="M621" s="5" t="s">
        <v>1681</v>
      </c>
      <c r="N621" s="5" t="s">
        <v>1682</v>
      </c>
      <c r="O621" s="5" t="s">
        <v>1680</v>
      </c>
      <c r="P621" s="6">
        <v>577</v>
      </c>
      <c r="Q621" s="6">
        <v>577</v>
      </c>
      <c r="R621" s="6">
        <v>0</v>
      </c>
      <c r="S621" s="6">
        <v>0</v>
      </c>
      <c r="T621" s="6">
        <v>0</v>
      </c>
    </row>
    <row r="622" spans="1:20">
      <c r="A622" s="5" t="s">
        <v>1672</v>
      </c>
      <c r="B622" s="5" t="s">
        <v>1673</v>
      </c>
      <c r="C622" s="5" t="s">
        <v>1715</v>
      </c>
      <c r="D622" s="5" t="s">
        <v>325</v>
      </c>
      <c r="E622" s="5" t="s">
        <v>1782</v>
      </c>
      <c r="F622" s="5" t="s">
        <v>1783</v>
      </c>
      <c r="G622" s="5" t="s">
        <v>1782</v>
      </c>
      <c r="H622" s="5" t="s">
        <v>1783</v>
      </c>
      <c r="I622" s="5" t="s">
        <v>1888</v>
      </c>
      <c r="J622" s="5" t="s">
        <v>1678</v>
      </c>
      <c r="K622" s="5" t="s">
        <v>1872</v>
      </c>
      <c r="L622" s="5" t="s">
        <v>1680</v>
      </c>
      <c r="M622" s="5" t="s">
        <v>1681</v>
      </c>
      <c r="N622" s="5" t="s">
        <v>1682</v>
      </c>
      <c r="O622" s="5" t="s">
        <v>1680</v>
      </c>
      <c r="P622" s="6">
        <v>577</v>
      </c>
      <c r="Q622" s="6">
        <v>577</v>
      </c>
      <c r="R622" s="6">
        <v>0</v>
      </c>
      <c r="S622" s="6">
        <v>0</v>
      </c>
      <c r="T622" s="6">
        <v>0</v>
      </c>
    </row>
    <row r="623" spans="1:20">
      <c r="A623" s="5" t="s">
        <v>1672</v>
      </c>
      <c r="B623" s="5" t="s">
        <v>1673</v>
      </c>
      <c r="C623" s="5" t="s">
        <v>1715</v>
      </c>
      <c r="D623" s="5" t="s">
        <v>325</v>
      </c>
      <c r="E623" s="5" t="s">
        <v>1784</v>
      </c>
      <c r="F623" s="5" t="s">
        <v>1785</v>
      </c>
      <c r="G623" s="5" t="s">
        <v>1786</v>
      </c>
      <c r="H623" s="5" t="s">
        <v>1787</v>
      </c>
      <c r="I623" s="5" t="s">
        <v>1888</v>
      </c>
      <c r="J623" s="5" t="s">
        <v>1678</v>
      </c>
      <c r="K623" s="5" t="s">
        <v>1872</v>
      </c>
      <c r="L623" s="5" t="s">
        <v>1680</v>
      </c>
      <c r="M623" s="5" t="s">
        <v>1681</v>
      </c>
      <c r="N623" s="5" t="s">
        <v>1682</v>
      </c>
      <c r="O623" s="5" t="s">
        <v>1680</v>
      </c>
      <c r="P623" s="6">
        <v>577</v>
      </c>
      <c r="Q623" s="6">
        <v>577</v>
      </c>
      <c r="R623" s="6">
        <v>0</v>
      </c>
      <c r="S623" s="6">
        <v>0</v>
      </c>
      <c r="T623" s="6">
        <v>0</v>
      </c>
    </row>
    <row r="624" spans="1:20">
      <c r="A624" s="5" t="s">
        <v>1672</v>
      </c>
      <c r="B624" s="5" t="s">
        <v>1673</v>
      </c>
      <c r="C624" s="5" t="s">
        <v>1715</v>
      </c>
      <c r="D624" s="5" t="s">
        <v>325</v>
      </c>
      <c r="E624" s="5" t="s">
        <v>1788</v>
      </c>
      <c r="F624" s="5" t="s">
        <v>1789</v>
      </c>
      <c r="G624" s="5" t="s">
        <v>1790</v>
      </c>
      <c r="H624" s="5" t="s">
        <v>1791</v>
      </c>
      <c r="I624" s="5" t="s">
        <v>1888</v>
      </c>
      <c r="J624" s="5" t="s">
        <v>1678</v>
      </c>
      <c r="K624" s="5" t="s">
        <v>1872</v>
      </c>
      <c r="L624" s="5" t="s">
        <v>1680</v>
      </c>
      <c r="M624" s="5" t="s">
        <v>1681</v>
      </c>
      <c r="N624" s="5" t="s">
        <v>1682</v>
      </c>
      <c r="O624" s="5" t="s">
        <v>1680</v>
      </c>
      <c r="P624" s="6">
        <v>577</v>
      </c>
      <c r="Q624" s="6">
        <v>577</v>
      </c>
      <c r="R624" s="6">
        <v>0</v>
      </c>
      <c r="S624" s="6">
        <v>0</v>
      </c>
      <c r="T624" s="6">
        <v>0</v>
      </c>
    </row>
    <row r="625" spans="1:20">
      <c r="A625" s="5" t="s">
        <v>1672</v>
      </c>
      <c r="B625" s="5" t="s">
        <v>1673</v>
      </c>
      <c r="C625" s="5" t="s">
        <v>1715</v>
      </c>
      <c r="D625" s="5" t="s">
        <v>325</v>
      </c>
      <c r="E625" s="5" t="s">
        <v>1792</v>
      </c>
      <c r="F625" s="5" t="s">
        <v>1793</v>
      </c>
      <c r="G625" s="5" t="s">
        <v>1794</v>
      </c>
      <c r="H625" s="5" t="s">
        <v>1795</v>
      </c>
      <c r="I625" s="5" t="s">
        <v>1888</v>
      </c>
      <c r="J625" s="5" t="s">
        <v>1678</v>
      </c>
      <c r="K625" s="5" t="s">
        <v>1872</v>
      </c>
      <c r="L625" s="5" t="s">
        <v>1680</v>
      </c>
      <c r="M625" s="5" t="s">
        <v>1681</v>
      </c>
      <c r="N625" s="5" t="s">
        <v>1682</v>
      </c>
      <c r="O625" s="5" t="s">
        <v>1680</v>
      </c>
      <c r="P625" s="6">
        <v>577</v>
      </c>
      <c r="Q625" s="6">
        <v>577</v>
      </c>
      <c r="R625" s="6">
        <v>0</v>
      </c>
      <c r="S625" s="6">
        <v>0</v>
      </c>
      <c r="T625" s="6">
        <v>0</v>
      </c>
    </row>
    <row r="626" spans="1:20">
      <c r="A626" s="5" t="s">
        <v>1672</v>
      </c>
      <c r="B626" s="5" t="s">
        <v>1673</v>
      </c>
      <c r="C626" s="5" t="s">
        <v>1715</v>
      </c>
      <c r="D626" s="5" t="s">
        <v>325</v>
      </c>
      <c r="E626" s="5" t="s">
        <v>1796</v>
      </c>
      <c r="F626" s="5" t="s">
        <v>1797</v>
      </c>
      <c r="G626" s="5" t="s">
        <v>1796</v>
      </c>
      <c r="H626" s="5" t="s">
        <v>1797</v>
      </c>
      <c r="I626" s="5" t="s">
        <v>1888</v>
      </c>
      <c r="J626" s="5" t="s">
        <v>1678</v>
      </c>
      <c r="K626" s="5" t="s">
        <v>1872</v>
      </c>
      <c r="L626" s="5" t="s">
        <v>1680</v>
      </c>
      <c r="M626" s="5" t="s">
        <v>1681</v>
      </c>
      <c r="N626" s="5" t="s">
        <v>1682</v>
      </c>
      <c r="O626" s="5" t="s">
        <v>1680</v>
      </c>
      <c r="P626" s="6">
        <v>577</v>
      </c>
      <c r="Q626" s="6">
        <v>577</v>
      </c>
      <c r="R626" s="6">
        <v>0</v>
      </c>
      <c r="S626" s="6">
        <v>0</v>
      </c>
      <c r="T626" s="6">
        <v>0</v>
      </c>
    </row>
    <row r="627" spans="1:20">
      <c r="A627" s="5" t="s">
        <v>1672</v>
      </c>
      <c r="B627" s="5" t="s">
        <v>1673</v>
      </c>
      <c r="C627" s="5" t="s">
        <v>1715</v>
      </c>
      <c r="D627" s="5" t="s">
        <v>325</v>
      </c>
      <c r="E627" s="5" t="s">
        <v>1798</v>
      </c>
      <c r="F627" s="5" t="s">
        <v>1799</v>
      </c>
      <c r="G627" s="5" t="s">
        <v>1798</v>
      </c>
      <c r="H627" s="5" t="s">
        <v>1799</v>
      </c>
      <c r="I627" s="5" t="s">
        <v>1888</v>
      </c>
      <c r="J627" s="5" t="s">
        <v>1678</v>
      </c>
      <c r="K627" s="5" t="s">
        <v>1872</v>
      </c>
      <c r="L627" s="5" t="s">
        <v>1680</v>
      </c>
      <c r="M627" s="5" t="s">
        <v>1681</v>
      </c>
      <c r="N627" s="5" t="s">
        <v>1682</v>
      </c>
      <c r="O627" s="5" t="s">
        <v>1680</v>
      </c>
      <c r="P627" s="6">
        <v>577</v>
      </c>
      <c r="Q627" s="6">
        <v>577</v>
      </c>
      <c r="R627" s="6">
        <v>0</v>
      </c>
      <c r="S627" s="6">
        <v>0</v>
      </c>
      <c r="T627" s="6">
        <v>0</v>
      </c>
    </row>
    <row r="628" spans="1:20">
      <c r="A628" s="5" t="s">
        <v>1672</v>
      </c>
      <c r="B628" s="5" t="s">
        <v>1673</v>
      </c>
      <c r="C628" s="5" t="s">
        <v>1715</v>
      </c>
      <c r="D628" s="5" t="s">
        <v>325</v>
      </c>
      <c r="E628" s="5" t="s">
        <v>1800</v>
      </c>
      <c r="F628" s="5" t="s">
        <v>1801</v>
      </c>
      <c r="G628" s="5" t="s">
        <v>1800</v>
      </c>
      <c r="H628" s="5" t="s">
        <v>1801</v>
      </c>
      <c r="I628" s="5" t="s">
        <v>1888</v>
      </c>
      <c r="J628" s="5" t="s">
        <v>1678</v>
      </c>
      <c r="K628" s="5" t="s">
        <v>1872</v>
      </c>
      <c r="L628" s="5" t="s">
        <v>1680</v>
      </c>
      <c r="M628" s="5" t="s">
        <v>1681</v>
      </c>
      <c r="N628" s="5" t="s">
        <v>1682</v>
      </c>
      <c r="O628" s="5" t="s">
        <v>1680</v>
      </c>
      <c r="P628" s="6">
        <v>577</v>
      </c>
      <c r="Q628" s="6">
        <v>577</v>
      </c>
      <c r="R628" s="6">
        <v>0</v>
      </c>
      <c r="S628" s="6">
        <v>0</v>
      </c>
      <c r="T628" s="6">
        <v>0</v>
      </c>
    </row>
    <row r="629" spans="1:20">
      <c r="A629" s="5" t="s">
        <v>1672</v>
      </c>
      <c r="B629" s="5" t="s">
        <v>1673</v>
      </c>
      <c r="C629" s="5" t="s">
        <v>1715</v>
      </c>
      <c r="D629" s="5" t="s">
        <v>325</v>
      </c>
      <c r="E629" s="5" t="s">
        <v>1802</v>
      </c>
      <c r="F629" s="5" t="s">
        <v>1803</v>
      </c>
      <c r="G629" s="5" t="s">
        <v>1804</v>
      </c>
      <c r="H629" s="5" t="s">
        <v>1805</v>
      </c>
      <c r="I629" s="5" t="s">
        <v>1888</v>
      </c>
      <c r="J629" s="5" t="s">
        <v>1678</v>
      </c>
      <c r="K629" s="5" t="s">
        <v>1872</v>
      </c>
      <c r="L629" s="5" t="s">
        <v>1680</v>
      </c>
      <c r="M629" s="5" t="s">
        <v>1681</v>
      </c>
      <c r="N629" s="5" t="s">
        <v>1682</v>
      </c>
      <c r="O629" s="5" t="s">
        <v>1680</v>
      </c>
      <c r="P629" s="6">
        <v>577</v>
      </c>
      <c r="Q629" s="6">
        <v>577</v>
      </c>
      <c r="R629" s="6">
        <v>0</v>
      </c>
      <c r="S629" s="6">
        <v>0</v>
      </c>
      <c r="T629" s="6">
        <v>0</v>
      </c>
    </row>
    <row r="630" spans="1:20">
      <c r="A630" s="5" t="s">
        <v>1672</v>
      </c>
      <c r="B630" s="5" t="s">
        <v>1673</v>
      </c>
      <c r="C630" s="5" t="s">
        <v>1715</v>
      </c>
      <c r="D630" s="5" t="s">
        <v>325</v>
      </c>
      <c r="E630" s="5" t="s">
        <v>1806</v>
      </c>
      <c r="F630" s="5" t="s">
        <v>1807</v>
      </c>
      <c r="G630" s="5" t="s">
        <v>1808</v>
      </c>
      <c r="H630" s="5" t="s">
        <v>1809</v>
      </c>
      <c r="I630" s="5" t="s">
        <v>1888</v>
      </c>
      <c r="J630" s="5" t="s">
        <v>1678</v>
      </c>
      <c r="K630" s="5" t="s">
        <v>1872</v>
      </c>
      <c r="L630" s="5" t="s">
        <v>1680</v>
      </c>
      <c r="M630" s="5" t="s">
        <v>1681</v>
      </c>
      <c r="N630" s="5" t="s">
        <v>1682</v>
      </c>
      <c r="O630" s="5" t="s">
        <v>1680</v>
      </c>
      <c r="P630" s="6">
        <v>577</v>
      </c>
      <c r="Q630" s="6">
        <v>577</v>
      </c>
      <c r="R630" s="6">
        <v>0</v>
      </c>
      <c r="S630" s="6">
        <v>0</v>
      </c>
      <c r="T630" s="6">
        <v>0</v>
      </c>
    </row>
    <row r="631" spans="1:20">
      <c r="A631" s="5" t="s">
        <v>1672</v>
      </c>
      <c r="B631" s="5" t="s">
        <v>1673</v>
      </c>
      <c r="C631" s="5" t="s">
        <v>1715</v>
      </c>
      <c r="D631" s="5" t="s">
        <v>325</v>
      </c>
      <c r="E631" s="5" t="s">
        <v>1810</v>
      </c>
      <c r="F631" s="5" t="s">
        <v>1811</v>
      </c>
      <c r="G631" s="5" t="s">
        <v>1812</v>
      </c>
      <c r="H631" s="5" t="s">
        <v>1813</v>
      </c>
      <c r="I631" s="5" t="s">
        <v>1888</v>
      </c>
      <c r="J631" s="5" t="s">
        <v>1678</v>
      </c>
      <c r="K631" s="5" t="s">
        <v>1872</v>
      </c>
      <c r="L631" s="5" t="s">
        <v>1680</v>
      </c>
      <c r="M631" s="5" t="s">
        <v>1681</v>
      </c>
      <c r="N631" s="5" t="s">
        <v>1682</v>
      </c>
      <c r="O631" s="5" t="s">
        <v>1680</v>
      </c>
      <c r="P631" s="6">
        <v>577</v>
      </c>
      <c r="Q631" s="6">
        <v>577</v>
      </c>
      <c r="R631" s="6">
        <v>0</v>
      </c>
      <c r="S631" s="6">
        <v>0</v>
      </c>
      <c r="T631" s="6">
        <v>0</v>
      </c>
    </row>
    <row r="632" spans="1:20">
      <c r="A632" s="5" t="s">
        <v>1672</v>
      </c>
      <c r="B632" s="5" t="s">
        <v>1673</v>
      </c>
      <c r="C632" s="5" t="s">
        <v>1715</v>
      </c>
      <c r="D632" s="5" t="s">
        <v>325</v>
      </c>
      <c r="E632" s="5" t="s">
        <v>1814</v>
      </c>
      <c r="F632" s="5" t="s">
        <v>1815</v>
      </c>
      <c r="G632" s="5" t="s">
        <v>1814</v>
      </c>
      <c r="H632" s="5" t="s">
        <v>1815</v>
      </c>
      <c r="I632" s="5" t="s">
        <v>1888</v>
      </c>
      <c r="J632" s="5" t="s">
        <v>1678</v>
      </c>
      <c r="K632" s="5" t="s">
        <v>1872</v>
      </c>
      <c r="L632" s="5" t="s">
        <v>1680</v>
      </c>
      <c r="M632" s="5" t="s">
        <v>1681</v>
      </c>
      <c r="N632" s="5" t="s">
        <v>1682</v>
      </c>
      <c r="O632" s="5" t="s">
        <v>1680</v>
      </c>
      <c r="P632" s="6">
        <v>577</v>
      </c>
      <c r="Q632" s="6">
        <v>577</v>
      </c>
      <c r="R632" s="6">
        <v>0</v>
      </c>
      <c r="S632" s="6">
        <v>0</v>
      </c>
      <c r="T632" s="6">
        <v>0</v>
      </c>
    </row>
    <row r="633" spans="1:20">
      <c r="A633" s="5" t="s">
        <v>1672</v>
      </c>
      <c r="B633" s="5" t="s">
        <v>1673</v>
      </c>
      <c r="C633" s="5" t="s">
        <v>1715</v>
      </c>
      <c r="D633" s="5" t="s">
        <v>325</v>
      </c>
      <c r="E633" s="5" t="s">
        <v>1816</v>
      </c>
      <c r="F633" s="5" t="s">
        <v>1817</v>
      </c>
      <c r="G633" s="5" t="s">
        <v>1818</v>
      </c>
      <c r="H633" s="5" t="s">
        <v>1819</v>
      </c>
      <c r="I633" s="5" t="s">
        <v>1888</v>
      </c>
      <c r="J633" s="5" t="s">
        <v>1678</v>
      </c>
      <c r="K633" s="5" t="s">
        <v>1872</v>
      </c>
      <c r="L633" s="5" t="s">
        <v>1680</v>
      </c>
      <c r="M633" s="5" t="s">
        <v>1681</v>
      </c>
      <c r="N633" s="5" t="s">
        <v>1682</v>
      </c>
      <c r="O633" s="5" t="s">
        <v>1680</v>
      </c>
      <c r="P633" s="6">
        <v>577</v>
      </c>
      <c r="Q633" s="6">
        <v>577</v>
      </c>
      <c r="R633" s="6">
        <v>0</v>
      </c>
      <c r="S633" s="6">
        <v>0</v>
      </c>
      <c r="T633" s="6">
        <v>0</v>
      </c>
    </row>
    <row r="634" spans="1:20">
      <c r="A634" s="5" t="s">
        <v>1672</v>
      </c>
      <c r="B634" s="5" t="s">
        <v>1673</v>
      </c>
      <c r="C634" s="5" t="s">
        <v>1715</v>
      </c>
      <c r="D634" s="5" t="s">
        <v>325</v>
      </c>
      <c r="E634" s="5" t="s">
        <v>1820</v>
      </c>
      <c r="F634" s="5" t="s">
        <v>1821</v>
      </c>
      <c r="G634" s="5" t="s">
        <v>1822</v>
      </c>
      <c r="H634" s="5" t="s">
        <v>1823</v>
      </c>
      <c r="I634" s="5" t="s">
        <v>1888</v>
      </c>
      <c r="J634" s="5" t="s">
        <v>1678</v>
      </c>
      <c r="K634" s="5" t="s">
        <v>1872</v>
      </c>
      <c r="L634" s="5" t="s">
        <v>1680</v>
      </c>
      <c r="M634" s="5" t="s">
        <v>1681</v>
      </c>
      <c r="N634" s="5" t="s">
        <v>1682</v>
      </c>
      <c r="O634" s="5" t="s">
        <v>1680</v>
      </c>
      <c r="P634" s="6">
        <v>577</v>
      </c>
      <c r="Q634" s="6">
        <v>577</v>
      </c>
      <c r="R634" s="6">
        <v>0</v>
      </c>
      <c r="S634" s="6">
        <v>0</v>
      </c>
      <c r="T634" s="6">
        <v>0</v>
      </c>
    </row>
    <row r="635" spans="1:20">
      <c r="A635" s="5" t="s">
        <v>1672</v>
      </c>
      <c r="B635" s="5" t="s">
        <v>1673</v>
      </c>
      <c r="C635" s="5" t="s">
        <v>1715</v>
      </c>
      <c r="D635" s="5" t="s">
        <v>325</v>
      </c>
      <c r="E635" s="5" t="s">
        <v>1824</v>
      </c>
      <c r="F635" s="5" t="s">
        <v>1825</v>
      </c>
      <c r="G635" s="5" t="s">
        <v>1826</v>
      </c>
      <c r="H635" s="5" t="s">
        <v>1827</v>
      </c>
      <c r="I635" s="5" t="s">
        <v>1888</v>
      </c>
      <c r="J635" s="5" t="s">
        <v>1678</v>
      </c>
      <c r="K635" s="5" t="s">
        <v>1872</v>
      </c>
      <c r="L635" s="5" t="s">
        <v>1680</v>
      </c>
      <c r="M635" s="5" t="s">
        <v>1681</v>
      </c>
      <c r="N635" s="5" t="s">
        <v>1682</v>
      </c>
      <c r="O635" s="5" t="s">
        <v>1680</v>
      </c>
      <c r="P635" s="6">
        <v>577</v>
      </c>
      <c r="Q635" s="6">
        <v>577</v>
      </c>
      <c r="R635" s="6">
        <v>0</v>
      </c>
      <c r="S635" s="6">
        <v>0</v>
      </c>
      <c r="T635" s="6">
        <v>0</v>
      </c>
    </row>
    <row r="636" spans="1:20">
      <c r="A636" s="5" t="s">
        <v>1672</v>
      </c>
      <c r="B636" s="5" t="s">
        <v>1673</v>
      </c>
      <c r="C636" s="5" t="s">
        <v>1715</v>
      </c>
      <c r="D636" s="5" t="s">
        <v>325</v>
      </c>
      <c r="E636" s="5" t="s">
        <v>1828</v>
      </c>
      <c r="F636" s="5" t="s">
        <v>1829</v>
      </c>
      <c r="G636" s="5" t="s">
        <v>1828</v>
      </c>
      <c r="H636" s="5" t="s">
        <v>1829</v>
      </c>
      <c r="I636" s="5" t="s">
        <v>1888</v>
      </c>
      <c r="J636" s="5" t="s">
        <v>1678</v>
      </c>
      <c r="K636" s="5" t="s">
        <v>1872</v>
      </c>
      <c r="L636" s="5" t="s">
        <v>1680</v>
      </c>
      <c r="M636" s="5" t="s">
        <v>1681</v>
      </c>
      <c r="N636" s="5" t="s">
        <v>1682</v>
      </c>
      <c r="O636" s="5" t="s">
        <v>1680</v>
      </c>
      <c r="P636" s="6">
        <v>577</v>
      </c>
      <c r="Q636" s="6">
        <v>577</v>
      </c>
      <c r="R636" s="6">
        <v>0</v>
      </c>
      <c r="S636" s="6">
        <v>0</v>
      </c>
      <c r="T636" s="6">
        <v>0</v>
      </c>
    </row>
    <row r="637" spans="1:20">
      <c r="A637" s="5" t="s">
        <v>1672</v>
      </c>
      <c r="B637" s="5" t="s">
        <v>1673</v>
      </c>
      <c r="C637" s="5" t="s">
        <v>1715</v>
      </c>
      <c r="D637" s="5" t="s">
        <v>325</v>
      </c>
      <c r="E637" s="5" t="s">
        <v>1830</v>
      </c>
      <c r="F637" s="5" t="s">
        <v>1831</v>
      </c>
      <c r="G637" s="5" t="s">
        <v>1830</v>
      </c>
      <c r="H637" s="5" t="s">
        <v>1831</v>
      </c>
      <c r="I637" s="5" t="s">
        <v>1888</v>
      </c>
      <c r="J637" s="5" t="s">
        <v>1678</v>
      </c>
      <c r="K637" s="5" t="s">
        <v>1872</v>
      </c>
      <c r="L637" s="5" t="s">
        <v>1680</v>
      </c>
      <c r="M637" s="5" t="s">
        <v>1681</v>
      </c>
      <c r="N637" s="5" t="s">
        <v>1682</v>
      </c>
      <c r="O637" s="5" t="s">
        <v>1680</v>
      </c>
      <c r="P637" s="6">
        <v>577</v>
      </c>
      <c r="Q637" s="6">
        <v>577</v>
      </c>
      <c r="R637" s="6">
        <v>0</v>
      </c>
      <c r="S637" s="6">
        <v>0</v>
      </c>
      <c r="T637" s="6">
        <v>0</v>
      </c>
    </row>
    <row r="638" spans="1:20">
      <c r="A638" s="5" t="s">
        <v>1672</v>
      </c>
      <c r="B638" s="5" t="s">
        <v>1673</v>
      </c>
      <c r="C638" s="5" t="s">
        <v>1715</v>
      </c>
      <c r="D638" s="5" t="s">
        <v>325</v>
      </c>
      <c r="E638" s="5" t="s">
        <v>1832</v>
      </c>
      <c r="F638" s="5" t="s">
        <v>1833</v>
      </c>
      <c r="G638" s="5" t="s">
        <v>1834</v>
      </c>
      <c r="H638" s="5" t="s">
        <v>1835</v>
      </c>
      <c r="I638" s="5" t="s">
        <v>1888</v>
      </c>
      <c r="J638" s="5" t="s">
        <v>1678</v>
      </c>
      <c r="K638" s="5" t="s">
        <v>1872</v>
      </c>
      <c r="L638" s="5" t="s">
        <v>1680</v>
      </c>
      <c r="M638" s="5" t="s">
        <v>1681</v>
      </c>
      <c r="N638" s="5" t="s">
        <v>1682</v>
      </c>
      <c r="O638" s="5" t="s">
        <v>1680</v>
      </c>
      <c r="P638" s="6">
        <v>577</v>
      </c>
      <c r="Q638" s="6">
        <v>577</v>
      </c>
      <c r="R638" s="6">
        <v>0</v>
      </c>
      <c r="S638" s="6">
        <v>0</v>
      </c>
      <c r="T638" s="6">
        <v>0</v>
      </c>
    </row>
    <row r="639" spans="1:20">
      <c r="A639" s="5" t="s">
        <v>1672</v>
      </c>
      <c r="B639" s="5" t="s">
        <v>1673</v>
      </c>
      <c r="C639" s="5" t="s">
        <v>1715</v>
      </c>
      <c r="D639" s="5" t="s">
        <v>325</v>
      </c>
      <c r="E639" s="5" t="s">
        <v>1836</v>
      </c>
      <c r="F639" s="5" t="s">
        <v>1837</v>
      </c>
      <c r="G639" s="5" t="s">
        <v>1836</v>
      </c>
      <c r="H639" s="5" t="s">
        <v>1837</v>
      </c>
      <c r="I639" s="5" t="s">
        <v>1888</v>
      </c>
      <c r="J639" s="5" t="s">
        <v>1678</v>
      </c>
      <c r="K639" s="5" t="s">
        <v>1872</v>
      </c>
      <c r="L639" s="5" t="s">
        <v>1680</v>
      </c>
      <c r="M639" s="5" t="s">
        <v>1681</v>
      </c>
      <c r="N639" s="5" t="s">
        <v>1682</v>
      </c>
      <c r="O639" s="5" t="s">
        <v>1680</v>
      </c>
      <c r="P639" s="6">
        <v>577</v>
      </c>
      <c r="Q639" s="6">
        <v>577</v>
      </c>
      <c r="R639" s="6">
        <v>0</v>
      </c>
      <c r="S639" s="6">
        <v>0</v>
      </c>
      <c r="T639" s="6">
        <v>0</v>
      </c>
    </row>
    <row r="640" spans="1:20">
      <c r="A640" s="5" t="s">
        <v>1672</v>
      </c>
      <c r="B640" s="5" t="s">
        <v>1673</v>
      </c>
      <c r="C640" s="5" t="s">
        <v>1715</v>
      </c>
      <c r="D640" s="5" t="s">
        <v>325</v>
      </c>
      <c r="E640" s="5" t="s">
        <v>1838</v>
      </c>
      <c r="F640" s="5" t="s">
        <v>1839</v>
      </c>
      <c r="G640" s="5" t="s">
        <v>1840</v>
      </c>
      <c r="H640" s="5" t="s">
        <v>1841</v>
      </c>
      <c r="I640" s="5" t="s">
        <v>1888</v>
      </c>
      <c r="J640" s="5" t="s">
        <v>1678</v>
      </c>
      <c r="K640" s="5" t="s">
        <v>1872</v>
      </c>
      <c r="L640" s="5" t="s">
        <v>1680</v>
      </c>
      <c r="M640" s="5" t="s">
        <v>1681</v>
      </c>
      <c r="N640" s="5" t="s">
        <v>1682</v>
      </c>
      <c r="O640" s="5" t="s">
        <v>1680</v>
      </c>
      <c r="P640" s="6">
        <v>577</v>
      </c>
      <c r="Q640" s="6">
        <v>577</v>
      </c>
      <c r="R640" s="6">
        <v>0</v>
      </c>
      <c r="S640" s="6">
        <v>0</v>
      </c>
      <c r="T640" s="6">
        <v>0</v>
      </c>
    </row>
    <row r="641" spans="1:20">
      <c r="A641" s="5" t="s">
        <v>1672</v>
      </c>
      <c r="B641" s="5" t="s">
        <v>1673</v>
      </c>
      <c r="C641" s="5" t="s">
        <v>1864</v>
      </c>
      <c r="D641" s="5" t="s">
        <v>309</v>
      </c>
      <c r="E641" s="5" t="s">
        <v>1865</v>
      </c>
      <c r="F641" s="5" t="s">
        <v>1866</v>
      </c>
      <c r="G641" s="5" t="s">
        <v>1865</v>
      </c>
      <c r="H641" s="5" t="s">
        <v>1866</v>
      </c>
      <c r="I641" s="5" t="s">
        <v>1889</v>
      </c>
      <c r="J641" s="5" t="s">
        <v>1678</v>
      </c>
      <c r="K641" s="5" t="s">
        <v>1872</v>
      </c>
      <c r="L641" s="5" t="s">
        <v>1680</v>
      </c>
      <c r="M641" s="5" t="s">
        <v>1681</v>
      </c>
      <c r="N641" s="5" t="s">
        <v>1682</v>
      </c>
      <c r="O641" s="5" t="s">
        <v>1680</v>
      </c>
      <c r="P641" s="6">
        <v>35</v>
      </c>
      <c r="Q641" s="6">
        <v>35</v>
      </c>
      <c r="R641" s="6">
        <v>0</v>
      </c>
      <c r="S641" s="6">
        <v>0</v>
      </c>
      <c r="T641" s="6">
        <v>0</v>
      </c>
    </row>
    <row r="642" spans="1:20">
      <c r="A642" s="5" t="s">
        <v>1672</v>
      </c>
      <c r="B642" s="5" t="s">
        <v>1673</v>
      </c>
      <c r="C642" s="5" t="s">
        <v>1864</v>
      </c>
      <c r="D642" s="5" t="s">
        <v>309</v>
      </c>
      <c r="E642" s="5" t="s">
        <v>1867</v>
      </c>
      <c r="F642" s="5" t="s">
        <v>1868</v>
      </c>
      <c r="G642" s="5" t="s">
        <v>1867</v>
      </c>
      <c r="H642" s="5" t="s">
        <v>1868</v>
      </c>
      <c r="I642" s="5" t="s">
        <v>1889</v>
      </c>
      <c r="J642" s="5" t="s">
        <v>1678</v>
      </c>
      <c r="K642" s="5" t="s">
        <v>1872</v>
      </c>
      <c r="L642" s="5" t="s">
        <v>1680</v>
      </c>
      <c r="M642" s="5" t="s">
        <v>1681</v>
      </c>
      <c r="N642" s="5" t="s">
        <v>1682</v>
      </c>
      <c r="O642" s="5" t="s">
        <v>1680</v>
      </c>
      <c r="P642" s="6">
        <v>35</v>
      </c>
      <c r="Q642" s="6">
        <v>35</v>
      </c>
      <c r="R642" s="6">
        <v>0</v>
      </c>
      <c r="S642" s="6">
        <v>0</v>
      </c>
      <c r="T642" s="6">
        <v>0</v>
      </c>
    </row>
    <row r="643" spans="1:20">
      <c r="A643" s="5" t="s">
        <v>1672</v>
      </c>
      <c r="B643" s="5" t="s">
        <v>1673</v>
      </c>
      <c r="C643" s="5" t="s">
        <v>1715</v>
      </c>
      <c r="D643" s="5" t="s">
        <v>325</v>
      </c>
      <c r="E643" s="5" t="s">
        <v>1716</v>
      </c>
      <c r="F643" s="5" t="s">
        <v>1717</v>
      </c>
      <c r="G643" s="5" t="s">
        <v>1716</v>
      </c>
      <c r="H643" s="5" t="s">
        <v>1717</v>
      </c>
      <c r="I643" s="5" t="s">
        <v>1889</v>
      </c>
      <c r="J643" s="5" t="s">
        <v>1678</v>
      </c>
      <c r="K643" s="5" t="s">
        <v>1872</v>
      </c>
      <c r="L643" s="5" t="s">
        <v>1680</v>
      </c>
      <c r="M643" s="5" t="s">
        <v>1681</v>
      </c>
      <c r="N643" s="5" t="s">
        <v>1682</v>
      </c>
      <c r="O643" s="5" t="s">
        <v>1680</v>
      </c>
      <c r="P643" s="6">
        <v>20448</v>
      </c>
      <c r="Q643" s="6">
        <v>20448</v>
      </c>
      <c r="R643" s="6">
        <v>0</v>
      </c>
      <c r="S643" s="6">
        <v>0</v>
      </c>
      <c r="T643" s="6">
        <v>0</v>
      </c>
    </row>
    <row r="644" spans="1:20">
      <c r="A644" s="5" t="s">
        <v>1672</v>
      </c>
      <c r="B644" s="5" t="s">
        <v>1673</v>
      </c>
      <c r="C644" s="5" t="s">
        <v>1715</v>
      </c>
      <c r="D644" s="5" t="s">
        <v>325</v>
      </c>
      <c r="E644" s="5" t="s">
        <v>1718</v>
      </c>
      <c r="F644" s="5" t="s">
        <v>1719</v>
      </c>
      <c r="G644" s="5" t="s">
        <v>1718</v>
      </c>
      <c r="H644" s="5" t="s">
        <v>1719</v>
      </c>
      <c r="I644" s="5" t="s">
        <v>1889</v>
      </c>
      <c r="J644" s="5" t="s">
        <v>1678</v>
      </c>
      <c r="K644" s="5" t="s">
        <v>1872</v>
      </c>
      <c r="L644" s="5" t="s">
        <v>1680</v>
      </c>
      <c r="M644" s="5" t="s">
        <v>1681</v>
      </c>
      <c r="N644" s="5" t="s">
        <v>1682</v>
      </c>
      <c r="O644" s="5" t="s">
        <v>1680</v>
      </c>
      <c r="P644" s="6">
        <v>20448</v>
      </c>
      <c r="Q644" s="6">
        <v>20448</v>
      </c>
      <c r="R644" s="6">
        <v>0</v>
      </c>
      <c r="S644" s="6">
        <v>0</v>
      </c>
      <c r="T644" s="6">
        <v>0</v>
      </c>
    </row>
    <row r="645" spans="1:20">
      <c r="A645" s="5" t="s">
        <v>1672</v>
      </c>
      <c r="B645" s="5" t="s">
        <v>1673</v>
      </c>
      <c r="C645" s="5" t="s">
        <v>1715</v>
      </c>
      <c r="D645" s="5" t="s">
        <v>325</v>
      </c>
      <c r="E645" s="5" t="s">
        <v>1720</v>
      </c>
      <c r="F645" s="5" t="s">
        <v>1721</v>
      </c>
      <c r="G645" s="5" t="s">
        <v>1720</v>
      </c>
      <c r="H645" s="5" t="s">
        <v>1721</v>
      </c>
      <c r="I645" s="5" t="s">
        <v>1889</v>
      </c>
      <c r="J645" s="5" t="s">
        <v>1678</v>
      </c>
      <c r="K645" s="5" t="s">
        <v>1872</v>
      </c>
      <c r="L645" s="5" t="s">
        <v>1680</v>
      </c>
      <c r="M645" s="5" t="s">
        <v>1681</v>
      </c>
      <c r="N645" s="5" t="s">
        <v>1682</v>
      </c>
      <c r="O645" s="5" t="s">
        <v>1680</v>
      </c>
      <c r="P645" s="6">
        <v>20448</v>
      </c>
      <c r="Q645" s="6">
        <v>20448</v>
      </c>
      <c r="R645" s="6">
        <v>0</v>
      </c>
      <c r="S645" s="6">
        <v>0</v>
      </c>
      <c r="T645" s="6">
        <v>0</v>
      </c>
    </row>
    <row r="646" spans="1:20">
      <c r="A646" s="5" t="s">
        <v>1672</v>
      </c>
      <c r="B646" s="5" t="s">
        <v>1673</v>
      </c>
      <c r="C646" s="5" t="s">
        <v>1715</v>
      </c>
      <c r="D646" s="5" t="s">
        <v>325</v>
      </c>
      <c r="E646" s="5" t="s">
        <v>1722</v>
      </c>
      <c r="F646" s="5" t="s">
        <v>1723</v>
      </c>
      <c r="G646" s="5" t="s">
        <v>1724</v>
      </c>
      <c r="H646" s="5" t="s">
        <v>1725</v>
      </c>
      <c r="I646" s="5" t="s">
        <v>1889</v>
      </c>
      <c r="J646" s="5" t="s">
        <v>1678</v>
      </c>
      <c r="K646" s="5" t="s">
        <v>1872</v>
      </c>
      <c r="L646" s="5" t="s">
        <v>1680</v>
      </c>
      <c r="M646" s="5" t="s">
        <v>1681</v>
      </c>
      <c r="N646" s="5" t="s">
        <v>1682</v>
      </c>
      <c r="O646" s="5" t="s">
        <v>1680</v>
      </c>
      <c r="P646" s="6">
        <v>20448</v>
      </c>
      <c r="Q646" s="6">
        <v>20448</v>
      </c>
      <c r="R646" s="6">
        <v>0</v>
      </c>
      <c r="S646" s="6">
        <v>0</v>
      </c>
      <c r="T646" s="6">
        <v>0</v>
      </c>
    </row>
    <row r="647" spans="1:20">
      <c r="A647" s="5" t="s">
        <v>1672</v>
      </c>
      <c r="B647" s="5" t="s">
        <v>1673</v>
      </c>
      <c r="C647" s="5" t="s">
        <v>1715</v>
      </c>
      <c r="D647" s="5" t="s">
        <v>325</v>
      </c>
      <c r="E647" s="5" t="s">
        <v>1726</v>
      </c>
      <c r="F647" s="5" t="s">
        <v>1727</v>
      </c>
      <c r="G647" s="5" t="s">
        <v>1726</v>
      </c>
      <c r="H647" s="5" t="s">
        <v>1727</v>
      </c>
      <c r="I647" s="5" t="s">
        <v>1889</v>
      </c>
      <c r="J647" s="5" t="s">
        <v>1678</v>
      </c>
      <c r="K647" s="5" t="s">
        <v>1872</v>
      </c>
      <c r="L647" s="5" t="s">
        <v>1680</v>
      </c>
      <c r="M647" s="5" t="s">
        <v>1681</v>
      </c>
      <c r="N647" s="5" t="s">
        <v>1682</v>
      </c>
      <c r="O647" s="5" t="s">
        <v>1680</v>
      </c>
      <c r="P647" s="6">
        <v>20448</v>
      </c>
      <c r="Q647" s="6">
        <v>20448</v>
      </c>
      <c r="R647" s="6">
        <v>0</v>
      </c>
      <c r="S647" s="6">
        <v>0</v>
      </c>
      <c r="T647" s="6">
        <v>0</v>
      </c>
    </row>
    <row r="648" spans="1:20">
      <c r="A648" s="5" t="s">
        <v>1672</v>
      </c>
      <c r="B648" s="5" t="s">
        <v>1673</v>
      </c>
      <c r="C648" s="5" t="s">
        <v>1715</v>
      </c>
      <c r="D648" s="5" t="s">
        <v>325</v>
      </c>
      <c r="E648" s="5" t="s">
        <v>1728</v>
      </c>
      <c r="F648" s="5" t="s">
        <v>1729</v>
      </c>
      <c r="G648" s="5" t="s">
        <v>1728</v>
      </c>
      <c r="H648" s="5" t="s">
        <v>1729</v>
      </c>
      <c r="I648" s="5" t="s">
        <v>1889</v>
      </c>
      <c r="J648" s="5" t="s">
        <v>1678</v>
      </c>
      <c r="K648" s="5" t="s">
        <v>1872</v>
      </c>
      <c r="L648" s="5" t="s">
        <v>1680</v>
      </c>
      <c r="M648" s="5" t="s">
        <v>1681</v>
      </c>
      <c r="N648" s="5" t="s">
        <v>1682</v>
      </c>
      <c r="O648" s="5" t="s">
        <v>1680</v>
      </c>
      <c r="P648" s="6">
        <v>20448</v>
      </c>
      <c r="Q648" s="6">
        <v>20448</v>
      </c>
      <c r="R648" s="6">
        <v>0</v>
      </c>
      <c r="S648" s="6">
        <v>0</v>
      </c>
      <c r="T648" s="6">
        <v>0</v>
      </c>
    </row>
    <row r="649" spans="1:20">
      <c r="A649" s="5" t="s">
        <v>1672</v>
      </c>
      <c r="B649" s="5" t="s">
        <v>1673</v>
      </c>
      <c r="C649" s="5" t="s">
        <v>1715</v>
      </c>
      <c r="D649" s="5" t="s">
        <v>325</v>
      </c>
      <c r="E649" s="5" t="s">
        <v>1730</v>
      </c>
      <c r="F649" s="5" t="s">
        <v>1731</v>
      </c>
      <c r="G649" s="5" t="s">
        <v>1730</v>
      </c>
      <c r="H649" s="5" t="s">
        <v>1731</v>
      </c>
      <c r="I649" s="5" t="s">
        <v>1889</v>
      </c>
      <c r="J649" s="5" t="s">
        <v>1678</v>
      </c>
      <c r="K649" s="5" t="s">
        <v>1872</v>
      </c>
      <c r="L649" s="5" t="s">
        <v>1680</v>
      </c>
      <c r="M649" s="5" t="s">
        <v>1681</v>
      </c>
      <c r="N649" s="5" t="s">
        <v>1682</v>
      </c>
      <c r="O649" s="5" t="s">
        <v>1680</v>
      </c>
      <c r="P649" s="6">
        <v>20448</v>
      </c>
      <c r="Q649" s="6">
        <v>20448</v>
      </c>
      <c r="R649" s="6">
        <v>0</v>
      </c>
      <c r="S649" s="6">
        <v>0</v>
      </c>
      <c r="T649" s="6">
        <v>0</v>
      </c>
    </row>
    <row r="650" spans="1:20">
      <c r="A650" s="5" t="s">
        <v>1672</v>
      </c>
      <c r="B650" s="5" t="s">
        <v>1673</v>
      </c>
      <c r="C650" s="5" t="s">
        <v>1715</v>
      </c>
      <c r="D650" s="5" t="s">
        <v>325</v>
      </c>
      <c r="E650" s="5" t="s">
        <v>1732</v>
      </c>
      <c r="F650" s="5" t="s">
        <v>1733</v>
      </c>
      <c r="G650" s="5" t="s">
        <v>1732</v>
      </c>
      <c r="H650" s="5" t="s">
        <v>1733</v>
      </c>
      <c r="I650" s="5" t="s">
        <v>1889</v>
      </c>
      <c r="J650" s="5" t="s">
        <v>1678</v>
      </c>
      <c r="K650" s="5" t="s">
        <v>1872</v>
      </c>
      <c r="L650" s="5" t="s">
        <v>1680</v>
      </c>
      <c r="M650" s="5" t="s">
        <v>1681</v>
      </c>
      <c r="N650" s="5" t="s">
        <v>1682</v>
      </c>
      <c r="O650" s="5" t="s">
        <v>1680</v>
      </c>
      <c r="P650" s="6">
        <v>20448</v>
      </c>
      <c r="Q650" s="6">
        <v>20448</v>
      </c>
      <c r="R650" s="6">
        <v>0</v>
      </c>
      <c r="S650" s="6">
        <v>0</v>
      </c>
      <c r="T650" s="6">
        <v>0</v>
      </c>
    </row>
    <row r="651" spans="1:20">
      <c r="A651" s="5" t="s">
        <v>1672</v>
      </c>
      <c r="B651" s="5" t="s">
        <v>1673</v>
      </c>
      <c r="C651" s="5" t="s">
        <v>1715</v>
      </c>
      <c r="D651" s="5" t="s">
        <v>325</v>
      </c>
      <c r="E651" s="5" t="s">
        <v>1734</v>
      </c>
      <c r="F651" s="5" t="s">
        <v>1735</v>
      </c>
      <c r="G651" s="5" t="s">
        <v>1734</v>
      </c>
      <c r="H651" s="5" t="s">
        <v>1735</v>
      </c>
      <c r="I651" s="5" t="s">
        <v>1889</v>
      </c>
      <c r="J651" s="5" t="s">
        <v>1678</v>
      </c>
      <c r="K651" s="5" t="s">
        <v>1872</v>
      </c>
      <c r="L651" s="5" t="s">
        <v>1680</v>
      </c>
      <c r="M651" s="5" t="s">
        <v>1681</v>
      </c>
      <c r="N651" s="5" t="s">
        <v>1682</v>
      </c>
      <c r="O651" s="5" t="s">
        <v>1680</v>
      </c>
      <c r="P651" s="6">
        <v>20448</v>
      </c>
      <c r="Q651" s="6">
        <v>20448</v>
      </c>
      <c r="R651" s="6">
        <v>0</v>
      </c>
      <c r="S651" s="6">
        <v>0</v>
      </c>
      <c r="T651" s="6">
        <v>0</v>
      </c>
    </row>
    <row r="652" spans="1:20">
      <c r="A652" s="5" t="s">
        <v>1672</v>
      </c>
      <c r="B652" s="5" t="s">
        <v>1673</v>
      </c>
      <c r="C652" s="5" t="s">
        <v>1715</v>
      </c>
      <c r="D652" s="5" t="s">
        <v>325</v>
      </c>
      <c r="E652" s="5" t="s">
        <v>1736</v>
      </c>
      <c r="F652" s="5" t="s">
        <v>1737</v>
      </c>
      <c r="G652" s="5" t="s">
        <v>1738</v>
      </c>
      <c r="H652" s="5" t="s">
        <v>1739</v>
      </c>
      <c r="I652" s="5" t="s">
        <v>1889</v>
      </c>
      <c r="J652" s="5" t="s">
        <v>1678</v>
      </c>
      <c r="K652" s="5" t="s">
        <v>1872</v>
      </c>
      <c r="L652" s="5" t="s">
        <v>1680</v>
      </c>
      <c r="M652" s="5" t="s">
        <v>1681</v>
      </c>
      <c r="N652" s="5" t="s">
        <v>1682</v>
      </c>
      <c r="O652" s="5" t="s">
        <v>1680</v>
      </c>
      <c r="P652" s="6">
        <v>20448</v>
      </c>
      <c r="Q652" s="6">
        <v>20448</v>
      </c>
      <c r="R652" s="6">
        <v>0</v>
      </c>
      <c r="S652" s="6">
        <v>0</v>
      </c>
      <c r="T652" s="6">
        <v>0</v>
      </c>
    </row>
    <row r="653" spans="1:20">
      <c r="A653" s="5" t="s">
        <v>1672</v>
      </c>
      <c r="B653" s="5" t="s">
        <v>1673</v>
      </c>
      <c r="C653" s="5" t="s">
        <v>1715</v>
      </c>
      <c r="D653" s="5" t="s">
        <v>325</v>
      </c>
      <c r="E653" s="5" t="s">
        <v>1740</v>
      </c>
      <c r="F653" s="5" t="s">
        <v>1741</v>
      </c>
      <c r="G653" s="5" t="s">
        <v>1740</v>
      </c>
      <c r="H653" s="5" t="s">
        <v>1741</v>
      </c>
      <c r="I653" s="5" t="s">
        <v>1889</v>
      </c>
      <c r="J653" s="5" t="s">
        <v>1678</v>
      </c>
      <c r="K653" s="5" t="s">
        <v>1872</v>
      </c>
      <c r="L653" s="5" t="s">
        <v>1680</v>
      </c>
      <c r="M653" s="5" t="s">
        <v>1681</v>
      </c>
      <c r="N653" s="5" t="s">
        <v>1682</v>
      </c>
      <c r="O653" s="5" t="s">
        <v>1680</v>
      </c>
      <c r="P653" s="6">
        <v>20448</v>
      </c>
      <c r="Q653" s="6">
        <v>20448</v>
      </c>
      <c r="R653" s="6">
        <v>0</v>
      </c>
      <c r="S653" s="6">
        <v>0</v>
      </c>
      <c r="T653" s="6">
        <v>0</v>
      </c>
    </row>
    <row r="654" spans="1:20">
      <c r="A654" s="5" t="s">
        <v>1672</v>
      </c>
      <c r="B654" s="5" t="s">
        <v>1673</v>
      </c>
      <c r="C654" s="5" t="s">
        <v>1715</v>
      </c>
      <c r="D654" s="5" t="s">
        <v>325</v>
      </c>
      <c r="E654" s="5" t="s">
        <v>1742</v>
      </c>
      <c r="F654" s="5" t="s">
        <v>1743</v>
      </c>
      <c r="G654" s="5" t="s">
        <v>1744</v>
      </c>
      <c r="H654" s="5" t="s">
        <v>1745</v>
      </c>
      <c r="I654" s="5" t="s">
        <v>1889</v>
      </c>
      <c r="J654" s="5" t="s">
        <v>1678</v>
      </c>
      <c r="K654" s="5" t="s">
        <v>1872</v>
      </c>
      <c r="L654" s="5" t="s">
        <v>1680</v>
      </c>
      <c r="M654" s="5" t="s">
        <v>1681</v>
      </c>
      <c r="N654" s="5" t="s">
        <v>1682</v>
      </c>
      <c r="O654" s="5" t="s">
        <v>1680</v>
      </c>
      <c r="P654" s="6">
        <v>20448</v>
      </c>
      <c r="Q654" s="6">
        <v>20448</v>
      </c>
      <c r="R654" s="6">
        <v>0</v>
      </c>
      <c r="S654" s="6">
        <v>0</v>
      </c>
      <c r="T654" s="6">
        <v>0</v>
      </c>
    </row>
    <row r="655" spans="1:20">
      <c r="A655" s="5" t="s">
        <v>1672</v>
      </c>
      <c r="B655" s="5" t="s">
        <v>1673</v>
      </c>
      <c r="C655" s="5" t="s">
        <v>1715</v>
      </c>
      <c r="D655" s="5" t="s">
        <v>325</v>
      </c>
      <c r="E655" s="5" t="s">
        <v>1746</v>
      </c>
      <c r="F655" s="5" t="s">
        <v>1747</v>
      </c>
      <c r="G655" s="5" t="s">
        <v>1748</v>
      </c>
      <c r="H655" s="5" t="s">
        <v>1749</v>
      </c>
      <c r="I655" s="5" t="s">
        <v>1889</v>
      </c>
      <c r="J655" s="5" t="s">
        <v>1678</v>
      </c>
      <c r="K655" s="5" t="s">
        <v>1872</v>
      </c>
      <c r="L655" s="5" t="s">
        <v>1680</v>
      </c>
      <c r="M655" s="5" t="s">
        <v>1681</v>
      </c>
      <c r="N655" s="5" t="s">
        <v>1682</v>
      </c>
      <c r="O655" s="5" t="s">
        <v>1680</v>
      </c>
      <c r="P655" s="6">
        <v>20448</v>
      </c>
      <c r="Q655" s="6">
        <v>20448</v>
      </c>
      <c r="R655" s="6">
        <v>0</v>
      </c>
      <c r="S655" s="6">
        <v>0</v>
      </c>
      <c r="T655" s="6">
        <v>0</v>
      </c>
    </row>
    <row r="656" spans="1:20">
      <c r="A656" s="5" t="s">
        <v>1672</v>
      </c>
      <c r="B656" s="5" t="s">
        <v>1673</v>
      </c>
      <c r="C656" s="5" t="s">
        <v>1715</v>
      </c>
      <c r="D656" s="5" t="s">
        <v>325</v>
      </c>
      <c r="E656" s="5" t="s">
        <v>1750</v>
      </c>
      <c r="F656" s="5" t="s">
        <v>1751</v>
      </c>
      <c r="G656" s="5" t="s">
        <v>1752</v>
      </c>
      <c r="H656" s="5" t="s">
        <v>1753</v>
      </c>
      <c r="I656" s="5" t="s">
        <v>1889</v>
      </c>
      <c r="J656" s="5" t="s">
        <v>1678</v>
      </c>
      <c r="K656" s="5" t="s">
        <v>1872</v>
      </c>
      <c r="L656" s="5" t="s">
        <v>1680</v>
      </c>
      <c r="M656" s="5" t="s">
        <v>1681</v>
      </c>
      <c r="N656" s="5" t="s">
        <v>1682</v>
      </c>
      <c r="O656" s="5" t="s">
        <v>1680</v>
      </c>
      <c r="P656" s="6">
        <v>20448</v>
      </c>
      <c r="Q656" s="6">
        <v>20448</v>
      </c>
      <c r="R656" s="6">
        <v>0</v>
      </c>
      <c r="S656" s="6">
        <v>0</v>
      </c>
      <c r="T656" s="6">
        <v>0</v>
      </c>
    </row>
    <row r="657" spans="1:20">
      <c r="A657" s="5" t="s">
        <v>1672</v>
      </c>
      <c r="B657" s="5" t="s">
        <v>1673</v>
      </c>
      <c r="C657" s="5" t="s">
        <v>1715</v>
      </c>
      <c r="D657" s="5" t="s">
        <v>325</v>
      </c>
      <c r="E657" s="5" t="s">
        <v>1754</v>
      </c>
      <c r="F657" s="5" t="s">
        <v>1755</v>
      </c>
      <c r="G657" s="5" t="s">
        <v>1756</v>
      </c>
      <c r="H657" s="5" t="s">
        <v>1757</v>
      </c>
      <c r="I657" s="5" t="s">
        <v>1889</v>
      </c>
      <c r="J657" s="5" t="s">
        <v>1678</v>
      </c>
      <c r="K657" s="5" t="s">
        <v>1872</v>
      </c>
      <c r="L657" s="5" t="s">
        <v>1680</v>
      </c>
      <c r="M657" s="5" t="s">
        <v>1681</v>
      </c>
      <c r="N657" s="5" t="s">
        <v>1682</v>
      </c>
      <c r="O657" s="5" t="s">
        <v>1680</v>
      </c>
      <c r="P657" s="6">
        <v>20448</v>
      </c>
      <c r="Q657" s="6">
        <v>20448</v>
      </c>
      <c r="R657" s="6">
        <v>0</v>
      </c>
      <c r="S657" s="6">
        <v>0</v>
      </c>
      <c r="T657" s="6">
        <v>0</v>
      </c>
    </row>
    <row r="658" spans="1:20">
      <c r="A658" s="5" t="s">
        <v>1672</v>
      </c>
      <c r="B658" s="5" t="s">
        <v>1673</v>
      </c>
      <c r="C658" s="5" t="s">
        <v>1715</v>
      </c>
      <c r="D658" s="5" t="s">
        <v>325</v>
      </c>
      <c r="E658" s="5" t="s">
        <v>1758</v>
      </c>
      <c r="F658" s="5" t="s">
        <v>1759</v>
      </c>
      <c r="G658" s="5" t="s">
        <v>1758</v>
      </c>
      <c r="H658" s="5" t="s">
        <v>1759</v>
      </c>
      <c r="I658" s="5" t="s">
        <v>1889</v>
      </c>
      <c r="J658" s="5" t="s">
        <v>1678</v>
      </c>
      <c r="K658" s="5" t="s">
        <v>1872</v>
      </c>
      <c r="L658" s="5" t="s">
        <v>1680</v>
      </c>
      <c r="M658" s="5" t="s">
        <v>1681</v>
      </c>
      <c r="N658" s="5" t="s">
        <v>1682</v>
      </c>
      <c r="O658" s="5" t="s">
        <v>1680</v>
      </c>
      <c r="P658" s="6">
        <v>20448</v>
      </c>
      <c r="Q658" s="6">
        <v>20448</v>
      </c>
      <c r="R658" s="6">
        <v>0</v>
      </c>
      <c r="S658" s="6">
        <v>0</v>
      </c>
      <c r="T658" s="6">
        <v>0</v>
      </c>
    </row>
    <row r="659" spans="1:20">
      <c r="A659" s="5" t="s">
        <v>1672</v>
      </c>
      <c r="B659" s="5" t="s">
        <v>1673</v>
      </c>
      <c r="C659" s="5" t="s">
        <v>1715</v>
      </c>
      <c r="D659" s="5" t="s">
        <v>325</v>
      </c>
      <c r="E659" s="5" t="s">
        <v>1760</v>
      </c>
      <c r="F659" s="5" t="s">
        <v>1761</v>
      </c>
      <c r="G659" s="5" t="s">
        <v>1760</v>
      </c>
      <c r="H659" s="5" t="s">
        <v>1761</v>
      </c>
      <c r="I659" s="5" t="s">
        <v>1889</v>
      </c>
      <c r="J659" s="5" t="s">
        <v>1678</v>
      </c>
      <c r="K659" s="5" t="s">
        <v>1872</v>
      </c>
      <c r="L659" s="5" t="s">
        <v>1680</v>
      </c>
      <c r="M659" s="5" t="s">
        <v>1681</v>
      </c>
      <c r="N659" s="5" t="s">
        <v>1682</v>
      </c>
      <c r="O659" s="5" t="s">
        <v>1680</v>
      </c>
      <c r="P659" s="6">
        <v>20448</v>
      </c>
      <c r="Q659" s="6">
        <v>20448</v>
      </c>
      <c r="R659" s="6">
        <v>0</v>
      </c>
      <c r="S659" s="6">
        <v>0</v>
      </c>
      <c r="T659" s="6">
        <v>0</v>
      </c>
    </row>
    <row r="660" spans="1:20">
      <c r="A660" s="5" t="s">
        <v>1672</v>
      </c>
      <c r="B660" s="5" t="s">
        <v>1673</v>
      </c>
      <c r="C660" s="5" t="s">
        <v>1715</v>
      </c>
      <c r="D660" s="5" t="s">
        <v>325</v>
      </c>
      <c r="E660" s="5" t="s">
        <v>1762</v>
      </c>
      <c r="F660" s="5" t="s">
        <v>1763</v>
      </c>
      <c r="G660" s="5" t="s">
        <v>1764</v>
      </c>
      <c r="H660" s="5" t="s">
        <v>1765</v>
      </c>
      <c r="I660" s="5" t="s">
        <v>1889</v>
      </c>
      <c r="J660" s="5" t="s">
        <v>1678</v>
      </c>
      <c r="K660" s="5" t="s">
        <v>1872</v>
      </c>
      <c r="L660" s="5" t="s">
        <v>1680</v>
      </c>
      <c r="M660" s="5" t="s">
        <v>1681</v>
      </c>
      <c r="N660" s="5" t="s">
        <v>1682</v>
      </c>
      <c r="O660" s="5" t="s">
        <v>1680</v>
      </c>
      <c r="P660" s="6">
        <v>20448</v>
      </c>
      <c r="Q660" s="6">
        <v>20448</v>
      </c>
      <c r="R660" s="6">
        <v>0</v>
      </c>
      <c r="S660" s="6">
        <v>0</v>
      </c>
      <c r="T660" s="6">
        <v>0</v>
      </c>
    </row>
    <row r="661" spans="1:20">
      <c r="A661" s="5" t="s">
        <v>1672</v>
      </c>
      <c r="B661" s="5" t="s">
        <v>1673</v>
      </c>
      <c r="C661" s="5" t="s">
        <v>1715</v>
      </c>
      <c r="D661" s="5" t="s">
        <v>325</v>
      </c>
      <c r="E661" s="5" t="s">
        <v>1766</v>
      </c>
      <c r="F661" s="5" t="s">
        <v>1767</v>
      </c>
      <c r="G661" s="5" t="s">
        <v>1766</v>
      </c>
      <c r="H661" s="5" t="s">
        <v>1767</v>
      </c>
      <c r="I661" s="5" t="s">
        <v>1889</v>
      </c>
      <c r="J661" s="5" t="s">
        <v>1678</v>
      </c>
      <c r="K661" s="5" t="s">
        <v>1872</v>
      </c>
      <c r="L661" s="5" t="s">
        <v>1680</v>
      </c>
      <c r="M661" s="5" t="s">
        <v>1681</v>
      </c>
      <c r="N661" s="5" t="s">
        <v>1682</v>
      </c>
      <c r="O661" s="5" t="s">
        <v>1680</v>
      </c>
      <c r="P661" s="6">
        <v>20448</v>
      </c>
      <c r="Q661" s="6">
        <v>20448</v>
      </c>
      <c r="R661" s="6">
        <v>0</v>
      </c>
      <c r="S661" s="6">
        <v>0</v>
      </c>
      <c r="T661" s="6">
        <v>0</v>
      </c>
    </row>
    <row r="662" spans="1:20">
      <c r="A662" s="5" t="s">
        <v>1672</v>
      </c>
      <c r="B662" s="5" t="s">
        <v>1673</v>
      </c>
      <c r="C662" s="5" t="s">
        <v>1715</v>
      </c>
      <c r="D662" s="5" t="s">
        <v>325</v>
      </c>
      <c r="E662" s="5" t="s">
        <v>1768</v>
      </c>
      <c r="F662" s="5" t="s">
        <v>1769</v>
      </c>
      <c r="G662" s="5" t="s">
        <v>1770</v>
      </c>
      <c r="H662" s="5" t="s">
        <v>1771</v>
      </c>
      <c r="I662" s="5" t="s">
        <v>1889</v>
      </c>
      <c r="J662" s="5" t="s">
        <v>1678</v>
      </c>
      <c r="K662" s="5" t="s">
        <v>1872</v>
      </c>
      <c r="L662" s="5" t="s">
        <v>1680</v>
      </c>
      <c r="M662" s="5" t="s">
        <v>1681</v>
      </c>
      <c r="N662" s="5" t="s">
        <v>1682</v>
      </c>
      <c r="O662" s="5" t="s">
        <v>1680</v>
      </c>
      <c r="P662" s="6">
        <v>20448</v>
      </c>
      <c r="Q662" s="6">
        <v>20448</v>
      </c>
      <c r="R662" s="6">
        <v>0</v>
      </c>
      <c r="S662" s="6">
        <v>0</v>
      </c>
      <c r="T662" s="6">
        <v>0</v>
      </c>
    </row>
    <row r="663" spans="1:20">
      <c r="A663" s="5" t="s">
        <v>1672</v>
      </c>
      <c r="B663" s="5" t="s">
        <v>1673</v>
      </c>
      <c r="C663" s="5" t="s">
        <v>1715</v>
      </c>
      <c r="D663" s="5" t="s">
        <v>325</v>
      </c>
      <c r="E663" s="5" t="s">
        <v>1772</v>
      </c>
      <c r="F663" s="5" t="s">
        <v>1773</v>
      </c>
      <c r="G663" s="5" t="s">
        <v>1774</v>
      </c>
      <c r="H663" s="5" t="s">
        <v>1775</v>
      </c>
      <c r="I663" s="5" t="s">
        <v>1889</v>
      </c>
      <c r="J663" s="5" t="s">
        <v>1678</v>
      </c>
      <c r="K663" s="5" t="s">
        <v>1872</v>
      </c>
      <c r="L663" s="5" t="s">
        <v>1680</v>
      </c>
      <c r="M663" s="5" t="s">
        <v>1681</v>
      </c>
      <c r="N663" s="5" t="s">
        <v>1682</v>
      </c>
      <c r="O663" s="5" t="s">
        <v>1680</v>
      </c>
      <c r="P663" s="6">
        <v>20448</v>
      </c>
      <c r="Q663" s="6">
        <v>20448</v>
      </c>
      <c r="R663" s="6">
        <v>0</v>
      </c>
      <c r="S663" s="6">
        <v>0</v>
      </c>
      <c r="T663" s="6">
        <v>0</v>
      </c>
    </row>
    <row r="664" spans="1:20">
      <c r="A664" s="5" t="s">
        <v>1672</v>
      </c>
      <c r="B664" s="5" t="s">
        <v>1673</v>
      </c>
      <c r="C664" s="5" t="s">
        <v>1715</v>
      </c>
      <c r="D664" s="5" t="s">
        <v>325</v>
      </c>
      <c r="E664" s="5" t="s">
        <v>1776</v>
      </c>
      <c r="F664" s="5" t="s">
        <v>1777</v>
      </c>
      <c r="G664" s="5" t="s">
        <v>1778</v>
      </c>
      <c r="H664" s="5" t="s">
        <v>1779</v>
      </c>
      <c r="I664" s="5" t="s">
        <v>1889</v>
      </c>
      <c r="J664" s="5" t="s">
        <v>1678</v>
      </c>
      <c r="K664" s="5" t="s">
        <v>1872</v>
      </c>
      <c r="L664" s="5" t="s">
        <v>1680</v>
      </c>
      <c r="M664" s="5" t="s">
        <v>1681</v>
      </c>
      <c r="N664" s="5" t="s">
        <v>1682</v>
      </c>
      <c r="O664" s="5" t="s">
        <v>1680</v>
      </c>
      <c r="P664" s="6">
        <v>20448</v>
      </c>
      <c r="Q664" s="6">
        <v>20448</v>
      </c>
      <c r="R664" s="6">
        <v>0</v>
      </c>
      <c r="S664" s="6">
        <v>0</v>
      </c>
      <c r="T664" s="6">
        <v>0</v>
      </c>
    </row>
    <row r="665" spans="1:20">
      <c r="A665" s="5" t="s">
        <v>1672</v>
      </c>
      <c r="B665" s="5" t="s">
        <v>1673</v>
      </c>
      <c r="C665" s="5" t="s">
        <v>1715</v>
      </c>
      <c r="D665" s="5" t="s">
        <v>325</v>
      </c>
      <c r="E665" s="5" t="s">
        <v>1780</v>
      </c>
      <c r="F665" s="5" t="s">
        <v>1781</v>
      </c>
      <c r="G665" s="5" t="s">
        <v>1780</v>
      </c>
      <c r="H665" s="5" t="s">
        <v>1781</v>
      </c>
      <c r="I665" s="5" t="s">
        <v>1889</v>
      </c>
      <c r="J665" s="5" t="s">
        <v>1678</v>
      </c>
      <c r="K665" s="5" t="s">
        <v>1872</v>
      </c>
      <c r="L665" s="5" t="s">
        <v>1680</v>
      </c>
      <c r="M665" s="5" t="s">
        <v>1681</v>
      </c>
      <c r="N665" s="5" t="s">
        <v>1682</v>
      </c>
      <c r="O665" s="5" t="s">
        <v>1680</v>
      </c>
      <c r="P665" s="6">
        <v>20448</v>
      </c>
      <c r="Q665" s="6">
        <v>20448</v>
      </c>
      <c r="R665" s="6">
        <v>0</v>
      </c>
      <c r="S665" s="6">
        <v>0</v>
      </c>
      <c r="T665" s="6">
        <v>0</v>
      </c>
    </row>
    <row r="666" spans="1:20">
      <c r="A666" s="5" t="s">
        <v>1672</v>
      </c>
      <c r="B666" s="5" t="s">
        <v>1673</v>
      </c>
      <c r="C666" s="5" t="s">
        <v>1715</v>
      </c>
      <c r="D666" s="5" t="s">
        <v>325</v>
      </c>
      <c r="E666" s="5" t="s">
        <v>1782</v>
      </c>
      <c r="F666" s="5" t="s">
        <v>1783</v>
      </c>
      <c r="G666" s="5" t="s">
        <v>1782</v>
      </c>
      <c r="H666" s="5" t="s">
        <v>1783</v>
      </c>
      <c r="I666" s="5" t="s">
        <v>1889</v>
      </c>
      <c r="J666" s="5" t="s">
        <v>1678</v>
      </c>
      <c r="K666" s="5" t="s">
        <v>1872</v>
      </c>
      <c r="L666" s="5" t="s">
        <v>1680</v>
      </c>
      <c r="M666" s="5" t="s">
        <v>1681</v>
      </c>
      <c r="N666" s="5" t="s">
        <v>1682</v>
      </c>
      <c r="O666" s="5" t="s">
        <v>1680</v>
      </c>
      <c r="P666" s="6">
        <v>20448</v>
      </c>
      <c r="Q666" s="6">
        <v>20448</v>
      </c>
      <c r="R666" s="6">
        <v>0</v>
      </c>
      <c r="S666" s="6">
        <v>0</v>
      </c>
      <c r="T666" s="6">
        <v>0</v>
      </c>
    </row>
    <row r="667" spans="1:20">
      <c r="A667" s="5" t="s">
        <v>1672</v>
      </c>
      <c r="B667" s="5" t="s">
        <v>1673</v>
      </c>
      <c r="C667" s="5" t="s">
        <v>1715</v>
      </c>
      <c r="D667" s="5" t="s">
        <v>325</v>
      </c>
      <c r="E667" s="5" t="s">
        <v>1784</v>
      </c>
      <c r="F667" s="5" t="s">
        <v>1785</v>
      </c>
      <c r="G667" s="5" t="s">
        <v>1786</v>
      </c>
      <c r="H667" s="5" t="s">
        <v>1787</v>
      </c>
      <c r="I667" s="5" t="s">
        <v>1889</v>
      </c>
      <c r="J667" s="5" t="s">
        <v>1678</v>
      </c>
      <c r="K667" s="5" t="s">
        <v>1872</v>
      </c>
      <c r="L667" s="5" t="s">
        <v>1680</v>
      </c>
      <c r="M667" s="5" t="s">
        <v>1681</v>
      </c>
      <c r="N667" s="5" t="s">
        <v>1682</v>
      </c>
      <c r="O667" s="5" t="s">
        <v>1680</v>
      </c>
      <c r="P667" s="6">
        <v>20448</v>
      </c>
      <c r="Q667" s="6">
        <v>20448</v>
      </c>
      <c r="R667" s="6">
        <v>0</v>
      </c>
      <c r="S667" s="6">
        <v>0</v>
      </c>
      <c r="T667" s="6">
        <v>0</v>
      </c>
    </row>
    <row r="668" spans="1:20">
      <c r="A668" s="5" t="s">
        <v>1672</v>
      </c>
      <c r="B668" s="5" t="s">
        <v>1673</v>
      </c>
      <c r="C668" s="5" t="s">
        <v>1715</v>
      </c>
      <c r="D668" s="5" t="s">
        <v>325</v>
      </c>
      <c r="E668" s="5" t="s">
        <v>1788</v>
      </c>
      <c r="F668" s="5" t="s">
        <v>1789</v>
      </c>
      <c r="G668" s="5" t="s">
        <v>1790</v>
      </c>
      <c r="H668" s="5" t="s">
        <v>1791</v>
      </c>
      <c r="I668" s="5" t="s">
        <v>1889</v>
      </c>
      <c r="J668" s="5" t="s">
        <v>1678</v>
      </c>
      <c r="K668" s="5" t="s">
        <v>1872</v>
      </c>
      <c r="L668" s="5" t="s">
        <v>1680</v>
      </c>
      <c r="M668" s="5" t="s">
        <v>1681</v>
      </c>
      <c r="N668" s="5" t="s">
        <v>1682</v>
      </c>
      <c r="O668" s="5" t="s">
        <v>1680</v>
      </c>
      <c r="P668" s="6">
        <v>20448</v>
      </c>
      <c r="Q668" s="6">
        <v>20448</v>
      </c>
      <c r="R668" s="6">
        <v>0</v>
      </c>
      <c r="S668" s="6">
        <v>0</v>
      </c>
      <c r="T668" s="6">
        <v>0</v>
      </c>
    </row>
    <row r="669" spans="1:20">
      <c r="A669" s="5" t="s">
        <v>1672</v>
      </c>
      <c r="B669" s="5" t="s">
        <v>1673</v>
      </c>
      <c r="C669" s="5" t="s">
        <v>1715</v>
      </c>
      <c r="D669" s="5" t="s">
        <v>325</v>
      </c>
      <c r="E669" s="5" t="s">
        <v>1792</v>
      </c>
      <c r="F669" s="5" t="s">
        <v>1793</v>
      </c>
      <c r="G669" s="5" t="s">
        <v>1794</v>
      </c>
      <c r="H669" s="5" t="s">
        <v>1795</v>
      </c>
      <c r="I669" s="5" t="s">
        <v>1889</v>
      </c>
      <c r="J669" s="5" t="s">
        <v>1678</v>
      </c>
      <c r="K669" s="5" t="s">
        <v>1872</v>
      </c>
      <c r="L669" s="5" t="s">
        <v>1680</v>
      </c>
      <c r="M669" s="5" t="s">
        <v>1681</v>
      </c>
      <c r="N669" s="5" t="s">
        <v>1682</v>
      </c>
      <c r="O669" s="5" t="s">
        <v>1680</v>
      </c>
      <c r="P669" s="6">
        <v>20448</v>
      </c>
      <c r="Q669" s="6">
        <v>20448</v>
      </c>
      <c r="R669" s="6">
        <v>0</v>
      </c>
      <c r="S669" s="6">
        <v>0</v>
      </c>
      <c r="T669" s="6">
        <v>0</v>
      </c>
    </row>
    <row r="670" spans="1:20">
      <c r="A670" s="5" t="s">
        <v>1672</v>
      </c>
      <c r="B670" s="5" t="s">
        <v>1673</v>
      </c>
      <c r="C670" s="5" t="s">
        <v>1715</v>
      </c>
      <c r="D670" s="5" t="s">
        <v>325</v>
      </c>
      <c r="E670" s="5" t="s">
        <v>1796</v>
      </c>
      <c r="F670" s="5" t="s">
        <v>1797</v>
      </c>
      <c r="G670" s="5" t="s">
        <v>1796</v>
      </c>
      <c r="H670" s="5" t="s">
        <v>1797</v>
      </c>
      <c r="I670" s="5" t="s">
        <v>1889</v>
      </c>
      <c r="J670" s="5" t="s">
        <v>1678</v>
      </c>
      <c r="K670" s="5" t="s">
        <v>1872</v>
      </c>
      <c r="L670" s="5" t="s">
        <v>1680</v>
      </c>
      <c r="M670" s="5" t="s">
        <v>1681</v>
      </c>
      <c r="N670" s="5" t="s">
        <v>1682</v>
      </c>
      <c r="O670" s="5" t="s">
        <v>1680</v>
      </c>
      <c r="P670" s="6">
        <v>20448</v>
      </c>
      <c r="Q670" s="6">
        <v>20448</v>
      </c>
      <c r="R670" s="6">
        <v>0</v>
      </c>
      <c r="S670" s="6">
        <v>0</v>
      </c>
      <c r="T670" s="6">
        <v>0</v>
      </c>
    </row>
    <row r="671" spans="1:20">
      <c r="A671" s="5" t="s">
        <v>1672</v>
      </c>
      <c r="B671" s="5" t="s">
        <v>1673</v>
      </c>
      <c r="C671" s="5" t="s">
        <v>1715</v>
      </c>
      <c r="D671" s="5" t="s">
        <v>325</v>
      </c>
      <c r="E671" s="5" t="s">
        <v>1798</v>
      </c>
      <c r="F671" s="5" t="s">
        <v>1799</v>
      </c>
      <c r="G671" s="5" t="s">
        <v>1798</v>
      </c>
      <c r="H671" s="5" t="s">
        <v>1799</v>
      </c>
      <c r="I671" s="5" t="s">
        <v>1889</v>
      </c>
      <c r="J671" s="5" t="s">
        <v>1678</v>
      </c>
      <c r="K671" s="5" t="s">
        <v>1872</v>
      </c>
      <c r="L671" s="5" t="s">
        <v>1680</v>
      </c>
      <c r="M671" s="5" t="s">
        <v>1681</v>
      </c>
      <c r="N671" s="5" t="s">
        <v>1682</v>
      </c>
      <c r="O671" s="5" t="s">
        <v>1680</v>
      </c>
      <c r="P671" s="6">
        <v>20448</v>
      </c>
      <c r="Q671" s="6">
        <v>20448</v>
      </c>
      <c r="R671" s="6">
        <v>0</v>
      </c>
      <c r="S671" s="6">
        <v>0</v>
      </c>
      <c r="T671" s="6">
        <v>0</v>
      </c>
    </row>
    <row r="672" spans="1:20">
      <c r="A672" s="5" t="s">
        <v>1672</v>
      </c>
      <c r="B672" s="5" t="s">
        <v>1673</v>
      </c>
      <c r="C672" s="5" t="s">
        <v>1715</v>
      </c>
      <c r="D672" s="5" t="s">
        <v>325</v>
      </c>
      <c r="E672" s="5" t="s">
        <v>1800</v>
      </c>
      <c r="F672" s="5" t="s">
        <v>1801</v>
      </c>
      <c r="G672" s="5" t="s">
        <v>1800</v>
      </c>
      <c r="H672" s="5" t="s">
        <v>1801</v>
      </c>
      <c r="I672" s="5" t="s">
        <v>1889</v>
      </c>
      <c r="J672" s="5" t="s">
        <v>1678</v>
      </c>
      <c r="K672" s="5" t="s">
        <v>1872</v>
      </c>
      <c r="L672" s="5" t="s">
        <v>1680</v>
      </c>
      <c r="M672" s="5" t="s">
        <v>1681</v>
      </c>
      <c r="N672" s="5" t="s">
        <v>1682</v>
      </c>
      <c r="O672" s="5" t="s">
        <v>1680</v>
      </c>
      <c r="P672" s="6">
        <v>20448</v>
      </c>
      <c r="Q672" s="6">
        <v>20448</v>
      </c>
      <c r="R672" s="6">
        <v>0</v>
      </c>
      <c r="S672" s="6">
        <v>0</v>
      </c>
      <c r="T672" s="6">
        <v>0</v>
      </c>
    </row>
    <row r="673" spans="1:20">
      <c r="A673" s="5" t="s">
        <v>1672</v>
      </c>
      <c r="B673" s="5" t="s">
        <v>1673</v>
      </c>
      <c r="C673" s="5" t="s">
        <v>1715</v>
      </c>
      <c r="D673" s="5" t="s">
        <v>325</v>
      </c>
      <c r="E673" s="5" t="s">
        <v>1802</v>
      </c>
      <c r="F673" s="5" t="s">
        <v>1803</v>
      </c>
      <c r="G673" s="5" t="s">
        <v>1804</v>
      </c>
      <c r="H673" s="5" t="s">
        <v>1805</v>
      </c>
      <c r="I673" s="5" t="s">
        <v>1889</v>
      </c>
      <c r="J673" s="5" t="s">
        <v>1678</v>
      </c>
      <c r="K673" s="5" t="s">
        <v>1872</v>
      </c>
      <c r="L673" s="5" t="s">
        <v>1680</v>
      </c>
      <c r="M673" s="5" t="s">
        <v>1681</v>
      </c>
      <c r="N673" s="5" t="s">
        <v>1682</v>
      </c>
      <c r="O673" s="5" t="s">
        <v>1680</v>
      </c>
      <c r="P673" s="6">
        <v>20448</v>
      </c>
      <c r="Q673" s="6">
        <v>20448</v>
      </c>
      <c r="R673" s="6">
        <v>0</v>
      </c>
      <c r="S673" s="6">
        <v>0</v>
      </c>
      <c r="T673" s="6">
        <v>0</v>
      </c>
    </row>
    <row r="674" spans="1:20">
      <c r="A674" s="5" t="s">
        <v>1672</v>
      </c>
      <c r="B674" s="5" t="s">
        <v>1673</v>
      </c>
      <c r="C674" s="5" t="s">
        <v>1715</v>
      </c>
      <c r="D674" s="5" t="s">
        <v>325</v>
      </c>
      <c r="E674" s="5" t="s">
        <v>1806</v>
      </c>
      <c r="F674" s="5" t="s">
        <v>1807</v>
      </c>
      <c r="G674" s="5" t="s">
        <v>1808</v>
      </c>
      <c r="H674" s="5" t="s">
        <v>1809</v>
      </c>
      <c r="I674" s="5" t="s">
        <v>1889</v>
      </c>
      <c r="J674" s="5" t="s">
        <v>1678</v>
      </c>
      <c r="K674" s="5" t="s">
        <v>1872</v>
      </c>
      <c r="L674" s="5" t="s">
        <v>1680</v>
      </c>
      <c r="M674" s="5" t="s">
        <v>1681</v>
      </c>
      <c r="N674" s="5" t="s">
        <v>1682</v>
      </c>
      <c r="O674" s="5" t="s">
        <v>1680</v>
      </c>
      <c r="P674" s="6">
        <v>20448</v>
      </c>
      <c r="Q674" s="6">
        <v>20448</v>
      </c>
      <c r="R674" s="6">
        <v>0</v>
      </c>
      <c r="S674" s="6">
        <v>0</v>
      </c>
      <c r="T674" s="6">
        <v>0</v>
      </c>
    </row>
    <row r="675" spans="1:20">
      <c r="A675" s="5" t="s">
        <v>1672</v>
      </c>
      <c r="B675" s="5" t="s">
        <v>1673</v>
      </c>
      <c r="C675" s="5" t="s">
        <v>1715</v>
      </c>
      <c r="D675" s="5" t="s">
        <v>325</v>
      </c>
      <c r="E675" s="5" t="s">
        <v>1810</v>
      </c>
      <c r="F675" s="5" t="s">
        <v>1811</v>
      </c>
      <c r="G675" s="5" t="s">
        <v>1812</v>
      </c>
      <c r="H675" s="5" t="s">
        <v>1813</v>
      </c>
      <c r="I675" s="5" t="s">
        <v>1889</v>
      </c>
      <c r="J675" s="5" t="s">
        <v>1678</v>
      </c>
      <c r="K675" s="5" t="s">
        <v>1872</v>
      </c>
      <c r="L675" s="5" t="s">
        <v>1680</v>
      </c>
      <c r="M675" s="5" t="s">
        <v>1681</v>
      </c>
      <c r="N675" s="5" t="s">
        <v>1682</v>
      </c>
      <c r="O675" s="5" t="s">
        <v>1680</v>
      </c>
      <c r="P675" s="6">
        <v>20448</v>
      </c>
      <c r="Q675" s="6">
        <v>20448</v>
      </c>
      <c r="R675" s="6">
        <v>0</v>
      </c>
      <c r="S675" s="6">
        <v>0</v>
      </c>
      <c r="T675" s="6">
        <v>0</v>
      </c>
    </row>
    <row r="676" spans="1:20">
      <c r="A676" s="5" t="s">
        <v>1672</v>
      </c>
      <c r="B676" s="5" t="s">
        <v>1673</v>
      </c>
      <c r="C676" s="5" t="s">
        <v>1715</v>
      </c>
      <c r="D676" s="5" t="s">
        <v>325</v>
      </c>
      <c r="E676" s="5" t="s">
        <v>1814</v>
      </c>
      <c r="F676" s="5" t="s">
        <v>1815</v>
      </c>
      <c r="G676" s="5" t="s">
        <v>1814</v>
      </c>
      <c r="H676" s="5" t="s">
        <v>1815</v>
      </c>
      <c r="I676" s="5" t="s">
        <v>1889</v>
      </c>
      <c r="J676" s="5" t="s">
        <v>1678</v>
      </c>
      <c r="K676" s="5" t="s">
        <v>1872</v>
      </c>
      <c r="L676" s="5" t="s">
        <v>1680</v>
      </c>
      <c r="M676" s="5" t="s">
        <v>1681</v>
      </c>
      <c r="N676" s="5" t="s">
        <v>1682</v>
      </c>
      <c r="O676" s="5" t="s">
        <v>1680</v>
      </c>
      <c r="P676" s="6">
        <v>20448</v>
      </c>
      <c r="Q676" s="6">
        <v>20448</v>
      </c>
      <c r="R676" s="6">
        <v>0</v>
      </c>
      <c r="S676" s="6">
        <v>0</v>
      </c>
      <c r="T676" s="6">
        <v>0</v>
      </c>
    </row>
    <row r="677" spans="1:20">
      <c r="A677" s="5" t="s">
        <v>1672</v>
      </c>
      <c r="B677" s="5" t="s">
        <v>1673</v>
      </c>
      <c r="C677" s="5" t="s">
        <v>1715</v>
      </c>
      <c r="D677" s="5" t="s">
        <v>325</v>
      </c>
      <c r="E677" s="5" t="s">
        <v>1816</v>
      </c>
      <c r="F677" s="5" t="s">
        <v>1817</v>
      </c>
      <c r="G677" s="5" t="s">
        <v>1818</v>
      </c>
      <c r="H677" s="5" t="s">
        <v>1819</v>
      </c>
      <c r="I677" s="5" t="s">
        <v>1889</v>
      </c>
      <c r="J677" s="5" t="s">
        <v>1678</v>
      </c>
      <c r="K677" s="5" t="s">
        <v>1872</v>
      </c>
      <c r="L677" s="5" t="s">
        <v>1680</v>
      </c>
      <c r="M677" s="5" t="s">
        <v>1681</v>
      </c>
      <c r="N677" s="5" t="s">
        <v>1682</v>
      </c>
      <c r="O677" s="5" t="s">
        <v>1680</v>
      </c>
      <c r="P677" s="6">
        <v>20448</v>
      </c>
      <c r="Q677" s="6">
        <v>20448</v>
      </c>
      <c r="R677" s="6">
        <v>0</v>
      </c>
      <c r="S677" s="6">
        <v>0</v>
      </c>
      <c r="T677" s="6">
        <v>0</v>
      </c>
    </row>
    <row r="678" spans="1:20">
      <c r="A678" s="5" t="s">
        <v>1672</v>
      </c>
      <c r="B678" s="5" t="s">
        <v>1673</v>
      </c>
      <c r="C678" s="5" t="s">
        <v>1715</v>
      </c>
      <c r="D678" s="5" t="s">
        <v>325</v>
      </c>
      <c r="E678" s="5" t="s">
        <v>1820</v>
      </c>
      <c r="F678" s="5" t="s">
        <v>1821</v>
      </c>
      <c r="G678" s="5" t="s">
        <v>1822</v>
      </c>
      <c r="H678" s="5" t="s">
        <v>1823</v>
      </c>
      <c r="I678" s="5" t="s">
        <v>1889</v>
      </c>
      <c r="J678" s="5" t="s">
        <v>1678</v>
      </c>
      <c r="K678" s="5" t="s">
        <v>1872</v>
      </c>
      <c r="L678" s="5" t="s">
        <v>1680</v>
      </c>
      <c r="M678" s="5" t="s">
        <v>1681</v>
      </c>
      <c r="N678" s="5" t="s">
        <v>1682</v>
      </c>
      <c r="O678" s="5" t="s">
        <v>1680</v>
      </c>
      <c r="P678" s="6">
        <v>20448</v>
      </c>
      <c r="Q678" s="6">
        <v>20448</v>
      </c>
      <c r="R678" s="6">
        <v>0</v>
      </c>
      <c r="S678" s="6">
        <v>0</v>
      </c>
      <c r="T678" s="6">
        <v>0</v>
      </c>
    </row>
    <row r="679" spans="1:20">
      <c r="A679" s="5" t="s">
        <v>1672</v>
      </c>
      <c r="B679" s="5" t="s">
        <v>1673</v>
      </c>
      <c r="C679" s="5" t="s">
        <v>1715</v>
      </c>
      <c r="D679" s="5" t="s">
        <v>325</v>
      </c>
      <c r="E679" s="5" t="s">
        <v>1824</v>
      </c>
      <c r="F679" s="5" t="s">
        <v>1825</v>
      </c>
      <c r="G679" s="5" t="s">
        <v>1826</v>
      </c>
      <c r="H679" s="5" t="s">
        <v>1827</v>
      </c>
      <c r="I679" s="5" t="s">
        <v>1889</v>
      </c>
      <c r="J679" s="5" t="s">
        <v>1678</v>
      </c>
      <c r="K679" s="5" t="s">
        <v>1872</v>
      </c>
      <c r="L679" s="5" t="s">
        <v>1680</v>
      </c>
      <c r="M679" s="5" t="s">
        <v>1681</v>
      </c>
      <c r="N679" s="5" t="s">
        <v>1682</v>
      </c>
      <c r="O679" s="5" t="s">
        <v>1680</v>
      </c>
      <c r="P679" s="6">
        <v>20448</v>
      </c>
      <c r="Q679" s="6">
        <v>20448</v>
      </c>
      <c r="R679" s="6">
        <v>0</v>
      </c>
      <c r="S679" s="6">
        <v>0</v>
      </c>
      <c r="T679" s="6">
        <v>0</v>
      </c>
    </row>
    <row r="680" spans="1:20">
      <c r="A680" s="5" t="s">
        <v>1672</v>
      </c>
      <c r="B680" s="5" t="s">
        <v>1673</v>
      </c>
      <c r="C680" s="5" t="s">
        <v>1715</v>
      </c>
      <c r="D680" s="5" t="s">
        <v>325</v>
      </c>
      <c r="E680" s="5" t="s">
        <v>1828</v>
      </c>
      <c r="F680" s="5" t="s">
        <v>1829</v>
      </c>
      <c r="G680" s="5" t="s">
        <v>1828</v>
      </c>
      <c r="H680" s="5" t="s">
        <v>1829</v>
      </c>
      <c r="I680" s="5" t="s">
        <v>1889</v>
      </c>
      <c r="J680" s="5" t="s">
        <v>1678</v>
      </c>
      <c r="K680" s="5" t="s">
        <v>1872</v>
      </c>
      <c r="L680" s="5" t="s">
        <v>1680</v>
      </c>
      <c r="M680" s="5" t="s">
        <v>1681</v>
      </c>
      <c r="N680" s="5" t="s">
        <v>1682</v>
      </c>
      <c r="O680" s="5" t="s">
        <v>1680</v>
      </c>
      <c r="P680" s="6">
        <v>20448</v>
      </c>
      <c r="Q680" s="6">
        <v>20448</v>
      </c>
      <c r="R680" s="6">
        <v>0</v>
      </c>
      <c r="S680" s="6">
        <v>0</v>
      </c>
      <c r="T680" s="6">
        <v>0</v>
      </c>
    </row>
    <row r="681" spans="1:20">
      <c r="A681" s="5" t="s">
        <v>1672</v>
      </c>
      <c r="B681" s="5" t="s">
        <v>1673</v>
      </c>
      <c r="C681" s="5" t="s">
        <v>1715</v>
      </c>
      <c r="D681" s="5" t="s">
        <v>325</v>
      </c>
      <c r="E681" s="5" t="s">
        <v>1830</v>
      </c>
      <c r="F681" s="5" t="s">
        <v>1831</v>
      </c>
      <c r="G681" s="5" t="s">
        <v>1830</v>
      </c>
      <c r="H681" s="5" t="s">
        <v>1831</v>
      </c>
      <c r="I681" s="5" t="s">
        <v>1889</v>
      </c>
      <c r="J681" s="5" t="s">
        <v>1678</v>
      </c>
      <c r="K681" s="5" t="s">
        <v>1872</v>
      </c>
      <c r="L681" s="5" t="s">
        <v>1680</v>
      </c>
      <c r="M681" s="5" t="s">
        <v>1681</v>
      </c>
      <c r="N681" s="5" t="s">
        <v>1682</v>
      </c>
      <c r="O681" s="5" t="s">
        <v>1680</v>
      </c>
      <c r="P681" s="6">
        <v>20448</v>
      </c>
      <c r="Q681" s="6">
        <v>20448</v>
      </c>
      <c r="R681" s="6">
        <v>0</v>
      </c>
      <c r="S681" s="6">
        <v>0</v>
      </c>
      <c r="T681" s="6">
        <v>0</v>
      </c>
    </row>
    <row r="682" spans="1:20">
      <c r="A682" s="5" t="s">
        <v>1672</v>
      </c>
      <c r="B682" s="5" t="s">
        <v>1673</v>
      </c>
      <c r="C682" s="5" t="s">
        <v>1715</v>
      </c>
      <c r="D682" s="5" t="s">
        <v>325</v>
      </c>
      <c r="E682" s="5" t="s">
        <v>1832</v>
      </c>
      <c r="F682" s="5" t="s">
        <v>1833</v>
      </c>
      <c r="G682" s="5" t="s">
        <v>1834</v>
      </c>
      <c r="H682" s="5" t="s">
        <v>1835</v>
      </c>
      <c r="I682" s="5" t="s">
        <v>1889</v>
      </c>
      <c r="J682" s="5" t="s">
        <v>1678</v>
      </c>
      <c r="K682" s="5" t="s">
        <v>1872</v>
      </c>
      <c r="L682" s="5" t="s">
        <v>1680</v>
      </c>
      <c r="M682" s="5" t="s">
        <v>1681</v>
      </c>
      <c r="N682" s="5" t="s">
        <v>1682</v>
      </c>
      <c r="O682" s="5" t="s">
        <v>1680</v>
      </c>
      <c r="P682" s="6">
        <v>20448</v>
      </c>
      <c r="Q682" s="6">
        <v>20448</v>
      </c>
      <c r="R682" s="6">
        <v>0</v>
      </c>
      <c r="S682" s="6">
        <v>0</v>
      </c>
      <c r="T682" s="6">
        <v>0</v>
      </c>
    </row>
    <row r="683" spans="1:20">
      <c r="A683" s="5" t="s">
        <v>1672</v>
      </c>
      <c r="B683" s="5" t="s">
        <v>1673</v>
      </c>
      <c r="C683" s="5" t="s">
        <v>1715</v>
      </c>
      <c r="D683" s="5" t="s">
        <v>325</v>
      </c>
      <c r="E683" s="5" t="s">
        <v>1836</v>
      </c>
      <c r="F683" s="5" t="s">
        <v>1837</v>
      </c>
      <c r="G683" s="5" t="s">
        <v>1836</v>
      </c>
      <c r="H683" s="5" t="s">
        <v>1837</v>
      </c>
      <c r="I683" s="5" t="s">
        <v>1889</v>
      </c>
      <c r="J683" s="5" t="s">
        <v>1678</v>
      </c>
      <c r="K683" s="5" t="s">
        <v>1872</v>
      </c>
      <c r="L683" s="5" t="s">
        <v>1680</v>
      </c>
      <c r="M683" s="5" t="s">
        <v>1681</v>
      </c>
      <c r="N683" s="5" t="s">
        <v>1682</v>
      </c>
      <c r="O683" s="5" t="s">
        <v>1680</v>
      </c>
      <c r="P683" s="6">
        <v>20448</v>
      </c>
      <c r="Q683" s="6">
        <v>20448</v>
      </c>
      <c r="R683" s="6">
        <v>0</v>
      </c>
      <c r="S683" s="6">
        <v>0</v>
      </c>
      <c r="T683" s="6">
        <v>0</v>
      </c>
    </row>
    <row r="684" spans="1:20">
      <c r="A684" s="5" t="s">
        <v>1672</v>
      </c>
      <c r="B684" s="5" t="s">
        <v>1673</v>
      </c>
      <c r="C684" s="5" t="s">
        <v>1715</v>
      </c>
      <c r="D684" s="5" t="s">
        <v>325</v>
      </c>
      <c r="E684" s="5" t="s">
        <v>1838</v>
      </c>
      <c r="F684" s="5" t="s">
        <v>1839</v>
      </c>
      <c r="G684" s="5" t="s">
        <v>1840</v>
      </c>
      <c r="H684" s="5" t="s">
        <v>1841</v>
      </c>
      <c r="I684" s="5" t="s">
        <v>1889</v>
      </c>
      <c r="J684" s="5" t="s">
        <v>1678</v>
      </c>
      <c r="K684" s="5" t="s">
        <v>1872</v>
      </c>
      <c r="L684" s="5" t="s">
        <v>1680</v>
      </c>
      <c r="M684" s="5" t="s">
        <v>1681</v>
      </c>
      <c r="N684" s="5" t="s">
        <v>1682</v>
      </c>
      <c r="O684" s="5" t="s">
        <v>1680</v>
      </c>
      <c r="P684" s="6">
        <v>20448</v>
      </c>
      <c r="Q684" s="6">
        <v>20448</v>
      </c>
      <c r="R684" s="6">
        <v>0</v>
      </c>
      <c r="S684" s="6">
        <v>0</v>
      </c>
      <c r="T684" s="6">
        <v>0</v>
      </c>
    </row>
    <row r="685" spans="1:20">
      <c r="A685" s="5" t="s">
        <v>1672</v>
      </c>
      <c r="B685" s="5" t="s">
        <v>1673</v>
      </c>
      <c r="C685" s="5" t="s">
        <v>1674</v>
      </c>
      <c r="D685" s="5" t="s">
        <v>2</v>
      </c>
      <c r="E685" s="5" t="s">
        <v>1675</v>
      </c>
      <c r="F685" s="5" t="s">
        <v>1676</v>
      </c>
      <c r="G685" s="5" t="s">
        <v>1675</v>
      </c>
      <c r="H685" s="5" t="s">
        <v>1676</v>
      </c>
      <c r="I685" s="5" t="s">
        <v>1890</v>
      </c>
      <c r="J685" s="5" t="s">
        <v>1678</v>
      </c>
      <c r="K685" s="5" t="s">
        <v>1872</v>
      </c>
      <c r="L685" s="5" t="s">
        <v>1680</v>
      </c>
      <c r="M685" s="5" t="s">
        <v>1681</v>
      </c>
      <c r="N685" s="5" t="s">
        <v>1682</v>
      </c>
      <c r="O685" s="5" t="s">
        <v>1680</v>
      </c>
      <c r="P685" s="6">
        <v>1128</v>
      </c>
      <c r="Q685" s="6">
        <v>1128</v>
      </c>
      <c r="R685" s="6">
        <v>0</v>
      </c>
      <c r="S685" s="6">
        <v>0</v>
      </c>
      <c r="T685" s="6">
        <v>0</v>
      </c>
    </row>
    <row r="686" spans="1:20">
      <c r="A686" s="5" t="s">
        <v>1672</v>
      </c>
      <c r="B686" s="5" t="s">
        <v>1673</v>
      </c>
      <c r="C686" s="5" t="s">
        <v>1674</v>
      </c>
      <c r="D686" s="5" t="s">
        <v>2</v>
      </c>
      <c r="E686" s="5" t="s">
        <v>1683</v>
      </c>
      <c r="F686" s="5" t="s">
        <v>1684</v>
      </c>
      <c r="G686" s="5" t="s">
        <v>1683</v>
      </c>
      <c r="H686" s="5" t="s">
        <v>1684</v>
      </c>
      <c r="I686" s="5" t="s">
        <v>1890</v>
      </c>
      <c r="J686" s="5" t="s">
        <v>1678</v>
      </c>
      <c r="K686" s="5" t="s">
        <v>1872</v>
      </c>
      <c r="L686" s="5" t="s">
        <v>1680</v>
      </c>
      <c r="M686" s="5" t="s">
        <v>1681</v>
      </c>
      <c r="N686" s="5" t="s">
        <v>1682</v>
      </c>
      <c r="O686" s="5" t="s">
        <v>1680</v>
      </c>
      <c r="P686" s="6">
        <v>1128</v>
      </c>
      <c r="Q686" s="6">
        <v>1128</v>
      </c>
      <c r="R686" s="6">
        <v>0</v>
      </c>
      <c r="S686" s="6">
        <v>0</v>
      </c>
      <c r="T686" s="6">
        <v>0</v>
      </c>
    </row>
    <row r="687" spans="1:20">
      <c r="A687" s="5" t="s">
        <v>1672</v>
      </c>
      <c r="B687" s="5" t="s">
        <v>1673</v>
      </c>
      <c r="C687" s="5" t="s">
        <v>1674</v>
      </c>
      <c r="D687" s="5" t="s">
        <v>2</v>
      </c>
      <c r="E687" s="5" t="s">
        <v>1685</v>
      </c>
      <c r="F687" s="5" t="s">
        <v>1686</v>
      </c>
      <c r="G687" s="5" t="s">
        <v>1685</v>
      </c>
      <c r="H687" s="5" t="s">
        <v>1686</v>
      </c>
      <c r="I687" s="5" t="s">
        <v>1890</v>
      </c>
      <c r="J687" s="5" t="s">
        <v>1678</v>
      </c>
      <c r="K687" s="5" t="s">
        <v>1872</v>
      </c>
      <c r="L687" s="5" t="s">
        <v>1680</v>
      </c>
      <c r="M687" s="5" t="s">
        <v>1681</v>
      </c>
      <c r="N687" s="5" t="s">
        <v>1682</v>
      </c>
      <c r="O687" s="5" t="s">
        <v>1680</v>
      </c>
      <c r="P687" s="6">
        <v>1128</v>
      </c>
      <c r="Q687" s="6">
        <v>1128</v>
      </c>
      <c r="R687" s="6">
        <v>0</v>
      </c>
      <c r="S687" s="6">
        <v>0</v>
      </c>
      <c r="T687" s="6">
        <v>0</v>
      </c>
    </row>
    <row r="688" spans="1:20">
      <c r="A688" s="5" t="s">
        <v>1672</v>
      </c>
      <c r="B688" s="5" t="s">
        <v>1673</v>
      </c>
      <c r="C688" s="5" t="s">
        <v>1674</v>
      </c>
      <c r="D688" s="5" t="s">
        <v>2</v>
      </c>
      <c r="E688" s="5" t="s">
        <v>1687</v>
      </c>
      <c r="F688" s="5" t="s">
        <v>1688</v>
      </c>
      <c r="G688" s="5" t="s">
        <v>1687</v>
      </c>
      <c r="H688" s="5" t="s">
        <v>1688</v>
      </c>
      <c r="I688" s="5" t="s">
        <v>1890</v>
      </c>
      <c r="J688" s="5" t="s">
        <v>1678</v>
      </c>
      <c r="K688" s="5" t="s">
        <v>1872</v>
      </c>
      <c r="L688" s="5" t="s">
        <v>1680</v>
      </c>
      <c r="M688" s="5" t="s">
        <v>1681</v>
      </c>
      <c r="N688" s="5" t="s">
        <v>1682</v>
      </c>
      <c r="O688" s="5" t="s">
        <v>1680</v>
      </c>
      <c r="P688" s="6">
        <v>1128</v>
      </c>
      <c r="Q688" s="6">
        <v>1128</v>
      </c>
      <c r="R688" s="6">
        <v>0</v>
      </c>
      <c r="S688" s="6">
        <v>0</v>
      </c>
      <c r="T688" s="6">
        <v>0</v>
      </c>
    </row>
    <row r="689" spans="1:20">
      <c r="A689" s="5" t="s">
        <v>1672</v>
      </c>
      <c r="B689" s="5" t="s">
        <v>1673</v>
      </c>
      <c r="C689" s="5" t="s">
        <v>1674</v>
      </c>
      <c r="D689" s="5" t="s">
        <v>2</v>
      </c>
      <c r="E689" s="5" t="s">
        <v>1689</v>
      </c>
      <c r="F689" s="5" t="s">
        <v>1690</v>
      </c>
      <c r="G689" s="5" t="s">
        <v>1689</v>
      </c>
      <c r="H689" s="5" t="s">
        <v>1690</v>
      </c>
      <c r="I689" s="5" t="s">
        <v>1890</v>
      </c>
      <c r="J689" s="5" t="s">
        <v>1678</v>
      </c>
      <c r="K689" s="5" t="s">
        <v>1872</v>
      </c>
      <c r="L689" s="5" t="s">
        <v>1680</v>
      </c>
      <c r="M689" s="5" t="s">
        <v>1681</v>
      </c>
      <c r="N689" s="5" t="s">
        <v>1682</v>
      </c>
      <c r="O689" s="5" t="s">
        <v>1680</v>
      </c>
      <c r="P689" s="6">
        <v>1128</v>
      </c>
      <c r="Q689" s="6">
        <v>1128</v>
      </c>
      <c r="R689" s="6">
        <v>0</v>
      </c>
      <c r="S689" s="6">
        <v>0</v>
      </c>
      <c r="T689" s="6">
        <v>0</v>
      </c>
    </row>
    <row r="690" spans="1:20">
      <c r="A690" s="5" t="s">
        <v>1672</v>
      </c>
      <c r="B690" s="5" t="s">
        <v>1673</v>
      </c>
      <c r="C690" s="5" t="s">
        <v>1674</v>
      </c>
      <c r="D690" s="5" t="s">
        <v>2</v>
      </c>
      <c r="E690" s="5" t="s">
        <v>1691</v>
      </c>
      <c r="F690" s="5" t="s">
        <v>1692</v>
      </c>
      <c r="G690" s="5" t="s">
        <v>1693</v>
      </c>
      <c r="H690" s="5" t="s">
        <v>1694</v>
      </c>
      <c r="I690" s="5" t="s">
        <v>1890</v>
      </c>
      <c r="J690" s="5" t="s">
        <v>1678</v>
      </c>
      <c r="K690" s="5" t="s">
        <v>1872</v>
      </c>
      <c r="L690" s="5" t="s">
        <v>1680</v>
      </c>
      <c r="M690" s="5" t="s">
        <v>1681</v>
      </c>
      <c r="N690" s="5" t="s">
        <v>1682</v>
      </c>
      <c r="O690" s="5" t="s">
        <v>1680</v>
      </c>
      <c r="P690" s="6">
        <v>1128</v>
      </c>
      <c r="Q690" s="6">
        <v>1128</v>
      </c>
      <c r="R690" s="6">
        <v>0</v>
      </c>
      <c r="S690" s="6">
        <v>0</v>
      </c>
      <c r="T690" s="6">
        <v>0</v>
      </c>
    </row>
    <row r="691" spans="1:20">
      <c r="A691" s="5" t="s">
        <v>1672</v>
      </c>
      <c r="B691" s="5" t="s">
        <v>1673</v>
      </c>
      <c r="C691" s="5" t="s">
        <v>1674</v>
      </c>
      <c r="D691" s="5" t="s">
        <v>2</v>
      </c>
      <c r="E691" s="5" t="s">
        <v>1695</v>
      </c>
      <c r="F691" s="5" t="s">
        <v>1696</v>
      </c>
      <c r="G691" s="5" t="s">
        <v>1697</v>
      </c>
      <c r="H691" s="5" t="s">
        <v>1698</v>
      </c>
      <c r="I691" s="5" t="s">
        <v>1890</v>
      </c>
      <c r="J691" s="5" t="s">
        <v>1678</v>
      </c>
      <c r="K691" s="5" t="s">
        <v>1872</v>
      </c>
      <c r="L691" s="5" t="s">
        <v>1680</v>
      </c>
      <c r="M691" s="5" t="s">
        <v>1681</v>
      </c>
      <c r="N691" s="5" t="s">
        <v>1682</v>
      </c>
      <c r="O691" s="5" t="s">
        <v>1680</v>
      </c>
      <c r="P691" s="6">
        <v>1128</v>
      </c>
      <c r="Q691" s="6">
        <v>1128</v>
      </c>
      <c r="R691" s="6">
        <v>0</v>
      </c>
      <c r="S691" s="6">
        <v>0</v>
      </c>
      <c r="T691" s="6">
        <v>0</v>
      </c>
    </row>
    <row r="692" spans="1:20">
      <c r="A692" s="5" t="s">
        <v>1672</v>
      </c>
      <c r="B692" s="5" t="s">
        <v>1673</v>
      </c>
      <c r="C692" s="5" t="s">
        <v>1674</v>
      </c>
      <c r="D692" s="5" t="s">
        <v>2</v>
      </c>
      <c r="E692" s="5" t="s">
        <v>1699</v>
      </c>
      <c r="F692" s="5" t="s">
        <v>1700</v>
      </c>
      <c r="G692" s="5" t="s">
        <v>1699</v>
      </c>
      <c r="H692" s="5" t="s">
        <v>1700</v>
      </c>
      <c r="I692" s="5" t="s">
        <v>1890</v>
      </c>
      <c r="J692" s="5" t="s">
        <v>1678</v>
      </c>
      <c r="K692" s="5" t="s">
        <v>1872</v>
      </c>
      <c r="L692" s="5" t="s">
        <v>1680</v>
      </c>
      <c r="M692" s="5" t="s">
        <v>1681</v>
      </c>
      <c r="N692" s="5" t="s">
        <v>1682</v>
      </c>
      <c r="O692" s="5" t="s">
        <v>1680</v>
      </c>
      <c r="P692" s="6">
        <v>1128</v>
      </c>
      <c r="Q692" s="6">
        <v>1128</v>
      </c>
      <c r="R692" s="6">
        <v>0</v>
      </c>
      <c r="S692" s="6">
        <v>0</v>
      </c>
      <c r="T692" s="6">
        <v>0</v>
      </c>
    </row>
    <row r="693" spans="1:20">
      <c r="A693" s="5" t="s">
        <v>1672</v>
      </c>
      <c r="B693" s="5" t="s">
        <v>1673</v>
      </c>
      <c r="C693" s="5" t="s">
        <v>1674</v>
      </c>
      <c r="D693" s="5" t="s">
        <v>2</v>
      </c>
      <c r="E693" s="5" t="s">
        <v>1701</v>
      </c>
      <c r="F693" s="5" t="s">
        <v>1702</v>
      </c>
      <c r="G693" s="5" t="s">
        <v>1701</v>
      </c>
      <c r="H693" s="5" t="s">
        <v>1702</v>
      </c>
      <c r="I693" s="5" t="s">
        <v>1890</v>
      </c>
      <c r="J693" s="5" t="s">
        <v>1678</v>
      </c>
      <c r="K693" s="5" t="s">
        <v>1872</v>
      </c>
      <c r="L693" s="5" t="s">
        <v>1680</v>
      </c>
      <c r="M693" s="5" t="s">
        <v>1681</v>
      </c>
      <c r="N693" s="5" t="s">
        <v>1682</v>
      </c>
      <c r="O693" s="5" t="s">
        <v>1680</v>
      </c>
      <c r="P693" s="6">
        <v>1128</v>
      </c>
      <c r="Q693" s="6">
        <v>1128</v>
      </c>
      <c r="R693" s="6">
        <v>0</v>
      </c>
      <c r="S693" s="6">
        <v>0</v>
      </c>
      <c r="T693" s="6">
        <v>0</v>
      </c>
    </row>
    <row r="694" spans="1:20">
      <c r="A694" s="5" t="s">
        <v>1672</v>
      </c>
      <c r="B694" s="5" t="s">
        <v>1673</v>
      </c>
      <c r="C694" s="5" t="s">
        <v>1674</v>
      </c>
      <c r="D694" s="5" t="s">
        <v>2</v>
      </c>
      <c r="E694" s="5" t="s">
        <v>1703</v>
      </c>
      <c r="F694" s="5" t="s">
        <v>1704</v>
      </c>
      <c r="G694" s="5" t="s">
        <v>1705</v>
      </c>
      <c r="H694" s="5" t="s">
        <v>1706</v>
      </c>
      <c r="I694" s="5" t="s">
        <v>1890</v>
      </c>
      <c r="J694" s="5" t="s">
        <v>1678</v>
      </c>
      <c r="K694" s="5" t="s">
        <v>1872</v>
      </c>
      <c r="L694" s="5" t="s">
        <v>1680</v>
      </c>
      <c r="M694" s="5" t="s">
        <v>1681</v>
      </c>
      <c r="N694" s="5" t="s">
        <v>1682</v>
      </c>
      <c r="O694" s="5" t="s">
        <v>1680</v>
      </c>
      <c r="P694" s="6">
        <v>1128</v>
      </c>
      <c r="Q694" s="6">
        <v>1128</v>
      </c>
      <c r="R694" s="6">
        <v>0</v>
      </c>
      <c r="S694" s="6">
        <v>0</v>
      </c>
      <c r="T694" s="6">
        <v>0</v>
      </c>
    </row>
    <row r="695" spans="1:20">
      <c r="A695" s="5" t="s">
        <v>1672</v>
      </c>
      <c r="B695" s="5" t="s">
        <v>1673</v>
      </c>
      <c r="C695" s="5" t="s">
        <v>1674</v>
      </c>
      <c r="D695" s="5" t="s">
        <v>2</v>
      </c>
      <c r="E695" s="5" t="s">
        <v>1707</v>
      </c>
      <c r="F695" s="5" t="s">
        <v>1708</v>
      </c>
      <c r="G695" s="5" t="s">
        <v>1707</v>
      </c>
      <c r="H695" s="5" t="s">
        <v>1708</v>
      </c>
      <c r="I695" s="5" t="s">
        <v>1890</v>
      </c>
      <c r="J695" s="5" t="s">
        <v>1678</v>
      </c>
      <c r="K695" s="5" t="s">
        <v>1872</v>
      </c>
      <c r="L695" s="5" t="s">
        <v>1680</v>
      </c>
      <c r="M695" s="5" t="s">
        <v>1681</v>
      </c>
      <c r="N695" s="5" t="s">
        <v>1682</v>
      </c>
      <c r="O695" s="5" t="s">
        <v>1680</v>
      </c>
      <c r="P695" s="6">
        <v>1128</v>
      </c>
      <c r="Q695" s="6">
        <v>1128</v>
      </c>
      <c r="R695" s="6">
        <v>0</v>
      </c>
      <c r="S695" s="6">
        <v>0</v>
      </c>
      <c r="T695" s="6">
        <v>0</v>
      </c>
    </row>
    <row r="696" spans="1:20">
      <c r="A696" s="5" t="s">
        <v>1672</v>
      </c>
      <c r="B696" s="5" t="s">
        <v>1673</v>
      </c>
      <c r="C696" s="5" t="s">
        <v>1674</v>
      </c>
      <c r="D696" s="5" t="s">
        <v>2</v>
      </c>
      <c r="E696" s="5" t="s">
        <v>1709</v>
      </c>
      <c r="F696" s="5" t="s">
        <v>1710</v>
      </c>
      <c r="G696" s="5" t="s">
        <v>1709</v>
      </c>
      <c r="H696" s="5" t="s">
        <v>1710</v>
      </c>
      <c r="I696" s="5" t="s">
        <v>1890</v>
      </c>
      <c r="J696" s="5" t="s">
        <v>1678</v>
      </c>
      <c r="K696" s="5" t="s">
        <v>1872</v>
      </c>
      <c r="L696" s="5" t="s">
        <v>1680</v>
      </c>
      <c r="M696" s="5" t="s">
        <v>1681</v>
      </c>
      <c r="N696" s="5" t="s">
        <v>1682</v>
      </c>
      <c r="O696" s="5" t="s">
        <v>1680</v>
      </c>
      <c r="P696" s="6">
        <v>1128</v>
      </c>
      <c r="Q696" s="6">
        <v>1128</v>
      </c>
      <c r="R696" s="6">
        <v>0</v>
      </c>
      <c r="S696" s="6">
        <v>0</v>
      </c>
      <c r="T696" s="6">
        <v>0</v>
      </c>
    </row>
    <row r="697" spans="1:20">
      <c r="A697" s="5" t="s">
        <v>1672</v>
      </c>
      <c r="B697" s="5" t="s">
        <v>1673</v>
      </c>
      <c r="C697" s="5" t="s">
        <v>1674</v>
      </c>
      <c r="D697" s="5" t="s">
        <v>2</v>
      </c>
      <c r="E697" s="5" t="s">
        <v>1711</v>
      </c>
      <c r="F697" s="5" t="s">
        <v>1712</v>
      </c>
      <c r="G697" s="5" t="s">
        <v>1711</v>
      </c>
      <c r="H697" s="5" t="s">
        <v>1712</v>
      </c>
      <c r="I697" s="5" t="s">
        <v>1890</v>
      </c>
      <c r="J697" s="5" t="s">
        <v>1678</v>
      </c>
      <c r="K697" s="5" t="s">
        <v>1872</v>
      </c>
      <c r="L697" s="5" t="s">
        <v>1680</v>
      </c>
      <c r="M697" s="5" t="s">
        <v>1681</v>
      </c>
      <c r="N697" s="5" t="s">
        <v>1682</v>
      </c>
      <c r="O697" s="5" t="s">
        <v>1680</v>
      </c>
      <c r="P697" s="6">
        <v>1128</v>
      </c>
      <c r="Q697" s="6">
        <v>1128</v>
      </c>
      <c r="R697" s="6">
        <v>0</v>
      </c>
      <c r="S697" s="6">
        <v>0</v>
      </c>
      <c r="T697" s="6">
        <v>0</v>
      </c>
    </row>
    <row r="698" spans="1:20">
      <c r="A698" s="5" t="s">
        <v>1672</v>
      </c>
      <c r="B698" s="5" t="s">
        <v>1673</v>
      </c>
      <c r="C698" s="5" t="s">
        <v>1674</v>
      </c>
      <c r="D698" s="5" t="s">
        <v>2</v>
      </c>
      <c r="E698" s="5" t="s">
        <v>1713</v>
      </c>
      <c r="F698" s="5" t="s">
        <v>1714</v>
      </c>
      <c r="G698" s="5" t="s">
        <v>1713</v>
      </c>
      <c r="H698" s="5" t="s">
        <v>1714</v>
      </c>
      <c r="I698" s="5" t="s">
        <v>1890</v>
      </c>
      <c r="J698" s="5" t="s">
        <v>1678</v>
      </c>
      <c r="K698" s="5" t="s">
        <v>1872</v>
      </c>
      <c r="L698" s="5" t="s">
        <v>1680</v>
      </c>
      <c r="M698" s="5" t="s">
        <v>1681</v>
      </c>
      <c r="N698" s="5" t="s">
        <v>1682</v>
      </c>
      <c r="O698" s="5" t="s">
        <v>1680</v>
      </c>
      <c r="P698" s="6">
        <v>1128</v>
      </c>
      <c r="Q698" s="6">
        <v>1128</v>
      </c>
      <c r="R698" s="6">
        <v>0</v>
      </c>
      <c r="S698" s="6">
        <v>0</v>
      </c>
      <c r="T698" s="6">
        <v>0</v>
      </c>
    </row>
    <row r="699" spans="1:20">
      <c r="A699" s="5" t="s">
        <v>1672</v>
      </c>
      <c r="B699" s="5" t="s">
        <v>1673</v>
      </c>
      <c r="C699" s="5" t="s">
        <v>1715</v>
      </c>
      <c r="D699" s="5" t="s">
        <v>325</v>
      </c>
      <c r="E699" s="5" t="s">
        <v>1716</v>
      </c>
      <c r="F699" s="5" t="s">
        <v>1717</v>
      </c>
      <c r="G699" s="5" t="s">
        <v>1716</v>
      </c>
      <c r="H699" s="5" t="s">
        <v>1717</v>
      </c>
      <c r="I699" s="5" t="s">
        <v>1890</v>
      </c>
      <c r="J699" s="5" t="s">
        <v>1678</v>
      </c>
      <c r="K699" s="5" t="s">
        <v>1872</v>
      </c>
      <c r="L699" s="5" t="s">
        <v>1680</v>
      </c>
      <c r="M699" s="5" t="s">
        <v>1681</v>
      </c>
      <c r="N699" s="5" t="s">
        <v>1682</v>
      </c>
      <c r="O699" s="5" t="s">
        <v>1680</v>
      </c>
      <c r="P699" s="6">
        <v>496</v>
      </c>
      <c r="Q699" s="6">
        <v>5286</v>
      </c>
      <c r="R699" s="6">
        <v>0</v>
      </c>
      <c r="S699" s="6">
        <v>4790</v>
      </c>
      <c r="T699" s="6">
        <v>0</v>
      </c>
    </row>
    <row r="700" spans="1:20">
      <c r="A700" s="5" t="s">
        <v>1672</v>
      </c>
      <c r="B700" s="5" t="s">
        <v>1673</v>
      </c>
      <c r="C700" s="5" t="s">
        <v>1715</v>
      </c>
      <c r="D700" s="5" t="s">
        <v>325</v>
      </c>
      <c r="E700" s="5" t="s">
        <v>1718</v>
      </c>
      <c r="F700" s="5" t="s">
        <v>1719</v>
      </c>
      <c r="G700" s="5" t="s">
        <v>1718</v>
      </c>
      <c r="H700" s="5" t="s">
        <v>1719</v>
      </c>
      <c r="I700" s="5" t="s">
        <v>1890</v>
      </c>
      <c r="J700" s="5" t="s">
        <v>1678</v>
      </c>
      <c r="K700" s="5" t="s">
        <v>1872</v>
      </c>
      <c r="L700" s="5" t="s">
        <v>1680</v>
      </c>
      <c r="M700" s="5" t="s">
        <v>1681</v>
      </c>
      <c r="N700" s="5" t="s">
        <v>1682</v>
      </c>
      <c r="O700" s="5" t="s">
        <v>1680</v>
      </c>
      <c r="P700" s="6">
        <v>496</v>
      </c>
      <c r="Q700" s="6">
        <v>5286</v>
      </c>
      <c r="R700" s="6">
        <v>0</v>
      </c>
      <c r="S700" s="6">
        <v>4790</v>
      </c>
      <c r="T700" s="6">
        <v>0</v>
      </c>
    </row>
    <row r="701" spans="1:20">
      <c r="A701" s="5" t="s">
        <v>1672</v>
      </c>
      <c r="B701" s="5" t="s">
        <v>1673</v>
      </c>
      <c r="C701" s="5" t="s">
        <v>1715</v>
      </c>
      <c r="D701" s="5" t="s">
        <v>325</v>
      </c>
      <c r="E701" s="5" t="s">
        <v>1720</v>
      </c>
      <c r="F701" s="5" t="s">
        <v>1721</v>
      </c>
      <c r="G701" s="5" t="s">
        <v>1720</v>
      </c>
      <c r="H701" s="5" t="s">
        <v>1721</v>
      </c>
      <c r="I701" s="5" t="s">
        <v>1890</v>
      </c>
      <c r="J701" s="5" t="s">
        <v>1678</v>
      </c>
      <c r="K701" s="5" t="s">
        <v>1872</v>
      </c>
      <c r="L701" s="5" t="s">
        <v>1680</v>
      </c>
      <c r="M701" s="5" t="s">
        <v>1681</v>
      </c>
      <c r="N701" s="5" t="s">
        <v>1682</v>
      </c>
      <c r="O701" s="5" t="s">
        <v>1680</v>
      </c>
      <c r="P701" s="6">
        <v>496</v>
      </c>
      <c r="Q701" s="6">
        <v>5286</v>
      </c>
      <c r="R701" s="6">
        <v>0</v>
      </c>
      <c r="S701" s="6">
        <v>4790</v>
      </c>
      <c r="T701" s="6">
        <v>0</v>
      </c>
    </row>
    <row r="702" spans="1:20">
      <c r="A702" s="5" t="s">
        <v>1672</v>
      </c>
      <c r="B702" s="5" t="s">
        <v>1673</v>
      </c>
      <c r="C702" s="5" t="s">
        <v>1715</v>
      </c>
      <c r="D702" s="5" t="s">
        <v>325</v>
      </c>
      <c r="E702" s="5" t="s">
        <v>1722</v>
      </c>
      <c r="F702" s="5" t="s">
        <v>1723</v>
      </c>
      <c r="G702" s="5" t="s">
        <v>1724</v>
      </c>
      <c r="H702" s="5" t="s">
        <v>1725</v>
      </c>
      <c r="I702" s="5" t="s">
        <v>1890</v>
      </c>
      <c r="J702" s="5" t="s">
        <v>1678</v>
      </c>
      <c r="K702" s="5" t="s">
        <v>1872</v>
      </c>
      <c r="L702" s="5" t="s">
        <v>1680</v>
      </c>
      <c r="M702" s="5" t="s">
        <v>1681</v>
      </c>
      <c r="N702" s="5" t="s">
        <v>1682</v>
      </c>
      <c r="O702" s="5" t="s">
        <v>1680</v>
      </c>
      <c r="P702" s="6">
        <v>496</v>
      </c>
      <c r="Q702" s="6">
        <v>5286</v>
      </c>
      <c r="R702" s="6">
        <v>0</v>
      </c>
      <c r="S702" s="6">
        <v>4790</v>
      </c>
      <c r="T702" s="6">
        <v>0</v>
      </c>
    </row>
    <row r="703" spans="1:20">
      <c r="A703" s="5" t="s">
        <v>1672</v>
      </c>
      <c r="B703" s="5" t="s">
        <v>1673</v>
      </c>
      <c r="C703" s="5" t="s">
        <v>1715</v>
      </c>
      <c r="D703" s="5" t="s">
        <v>325</v>
      </c>
      <c r="E703" s="5" t="s">
        <v>1726</v>
      </c>
      <c r="F703" s="5" t="s">
        <v>1727</v>
      </c>
      <c r="G703" s="5" t="s">
        <v>1726</v>
      </c>
      <c r="H703" s="5" t="s">
        <v>1727</v>
      </c>
      <c r="I703" s="5" t="s">
        <v>1890</v>
      </c>
      <c r="J703" s="5" t="s">
        <v>1678</v>
      </c>
      <c r="K703" s="5" t="s">
        <v>1872</v>
      </c>
      <c r="L703" s="5" t="s">
        <v>1680</v>
      </c>
      <c r="M703" s="5" t="s">
        <v>1681</v>
      </c>
      <c r="N703" s="5" t="s">
        <v>1682</v>
      </c>
      <c r="O703" s="5" t="s">
        <v>1680</v>
      </c>
      <c r="P703" s="6">
        <v>496</v>
      </c>
      <c r="Q703" s="6">
        <v>5286</v>
      </c>
      <c r="R703" s="6">
        <v>0</v>
      </c>
      <c r="S703" s="6">
        <v>4790</v>
      </c>
      <c r="T703" s="6">
        <v>0</v>
      </c>
    </row>
    <row r="704" spans="1:20">
      <c r="A704" s="5" t="s">
        <v>1672</v>
      </c>
      <c r="B704" s="5" t="s">
        <v>1673</v>
      </c>
      <c r="C704" s="5" t="s">
        <v>1715</v>
      </c>
      <c r="D704" s="5" t="s">
        <v>325</v>
      </c>
      <c r="E704" s="5" t="s">
        <v>1728</v>
      </c>
      <c r="F704" s="5" t="s">
        <v>1729</v>
      </c>
      <c r="G704" s="5" t="s">
        <v>1728</v>
      </c>
      <c r="H704" s="5" t="s">
        <v>1729</v>
      </c>
      <c r="I704" s="5" t="s">
        <v>1890</v>
      </c>
      <c r="J704" s="5" t="s">
        <v>1678</v>
      </c>
      <c r="K704" s="5" t="s">
        <v>1872</v>
      </c>
      <c r="L704" s="5" t="s">
        <v>1680</v>
      </c>
      <c r="M704" s="5" t="s">
        <v>1681</v>
      </c>
      <c r="N704" s="5" t="s">
        <v>1682</v>
      </c>
      <c r="O704" s="5" t="s">
        <v>1680</v>
      </c>
      <c r="P704" s="6">
        <v>496</v>
      </c>
      <c r="Q704" s="6">
        <v>5286</v>
      </c>
      <c r="R704" s="6">
        <v>0</v>
      </c>
      <c r="S704" s="6">
        <v>4790</v>
      </c>
      <c r="T704" s="6">
        <v>0</v>
      </c>
    </row>
    <row r="705" spans="1:20">
      <c r="A705" s="5" t="s">
        <v>1672</v>
      </c>
      <c r="B705" s="5" t="s">
        <v>1673</v>
      </c>
      <c r="C705" s="5" t="s">
        <v>1715</v>
      </c>
      <c r="D705" s="5" t="s">
        <v>325</v>
      </c>
      <c r="E705" s="5" t="s">
        <v>1730</v>
      </c>
      <c r="F705" s="5" t="s">
        <v>1731</v>
      </c>
      <c r="G705" s="5" t="s">
        <v>1730</v>
      </c>
      <c r="H705" s="5" t="s">
        <v>1731</v>
      </c>
      <c r="I705" s="5" t="s">
        <v>1890</v>
      </c>
      <c r="J705" s="5" t="s">
        <v>1678</v>
      </c>
      <c r="K705" s="5" t="s">
        <v>1872</v>
      </c>
      <c r="L705" s="5" t="s">
        <v>1680</v>
      </c>
      <c r="M705" s="5" t="s">
        <v>1681</v>
      </c>
      <c r="N705" s="5" t="s">
        <v>1682</v>
      </c>
      <c r="O705" s="5" t="s">
        <v>1680</v>
      </c>
      <c r="P705" s="6">
        <v>496</v>
      </c>
      <c r="Q705" s="6">
        <v>5286</v>
      </c>
      <c r="R705" s="6">
        <v>0</v>
      </c>
      <c r="S705" s="6">
        <v>4790</v>
      </c>
      <c r="T705" s="6">
        <v>0</v>
      </c>
    </row>
    <row r="706" spans="1:20">
      <c r="A706" s="5" t="s">
        <v>1672</v>
      </c>
      <c r="B706" s="5" t="s">
        <v>1673</v>
      </c>
      <c r="C706" s="5" t="s">
        <v>1715</v>
      </c>
      <c r="D706" s="5" t="s">
        <v>325</v>
      </c>
      <c r="E706" s="5" t="s">
        <v>1732</v>
      </c>
      <c r="F706" s="5" t="s">
        <v>1733</v>
      </c>
      <c r="G706" s="5" t="s">
        <v>1732</v>
      </c>
      <c r="H706" s="5" t="s">
        <v>1733</v>
      </c>
      <c r="I706" s="5" t="s">
        <v>1890</v>
      </c>
      <c r="J706" s="5" t="s">
        <v>1678</v>
      </c>
      <c r="K706" s="5" t="s">
        <v>1872</v>
      </c>
      <c r="L706" s="5" t="s">
        <v>1680</v>
      </c>
      <c r="M706" s="5" t="s">
        <v>1681</v>
      </c>
      <c r="N706" s="5" t="s">
        <v>1682</v>
      </c>
      <c r="O706" s="5" t="s">
        <v>1680</v>
      </c>
      <c r="P706" s="6">
        <v>496</v>
      </c>
      <c r="Q706" s="6">
        <v>5286</v>
      </c>
      <c r="R706" s="6">
        <v>0</v>
      </c>
      <c r="S706" s="6">
        <v>4790</v>
      </c>
      <c r="T706" s="6">
        <v>0</v>
      </c>
    </row>
    <row r="707" spans="1:20">
      <c r="A707" s="5" t="s">
        <v>1672</v>
      </c>
      <c r="B707" s="5" t="s">
        <v>1673</v>
      </c>
      <c r="C707" s="5" t="s">
        <v>1715</v>
      </c>
      <c r="D707" s="5" t="s">
        <v>325</v>
      </c>
      <c r="E707" s="5" t="s">
        <v>1734</v>
      </c>
      <c r="F707" s="5" t="s">
        <v>1735</v>
      </c>
      <c r="G707" s="5" t="s">
        <v>1734</v>
      </c>
      <c r="H707" s="5" t="s">
        <v>1735</v>
      </c>
      <c r="I707" s="5" t="s">
        <v>1890</v>
      </c>
      <c r="J707" s="5" t="s">
        <v>1678</v>
      </c>
      <c r="K707" s="5" t="s">
        <v>1872</v>
      </c>
      <c r="L707" s="5" t="s">
        <v>1680</v>
      </c>
      <c r="M707" s="5" t="s">
        <v>1681</v>
      </c>
      <c r="N707" s="5" t="s">
        <v>1682</v>
      </c>
      <c r="O707" s="5" t="s">
        <v>1680</v>
      </c>
      <c r="P707" s="6">
        <v>496</v>
      </c>
      <c r="Q707" s="6">
        <v>5286</v>
      </c>
      <c r="R707" s="6">
        <v>0</v>
      </c>
      <c r="S707" s="6">
        <v>4790</v>
      </c>
      <c r="T707" s="6">
        <v>0</v>
      </c>
    </row>
    <row r="708" spans="1:20">
      <c r="A708" s="5" t="s">
        <v>1672</v>
      </c>
      <c r="B708" s="5" t="s">
        <v>1673</v>
      </c>
      <c r="C708" s="5" t="s">
        <v>1715</v>
      </c>
      <c r="D708" s="5" t="s">
        <v>325</v>
      </c>
      <c r="E708" s="5" t="s">
        <v>1736</v>
      </c>
      <c r="F708" s="5" t="s">
        <v>1737</v>
      </c>
      <c r="G708" s="5" t="s">
        <v>1738</v>
      </c>
      <c r="H708" s="5" t="s">
        <v>1739</v>
      </c>
      <c r="I708" s="5" t="s">
        <v>1890</v>
      </c>
      <c r="J708" s="5" t="s">
        <v>1678</v>
      </c>
      <c r="K708" s="5" t="s">
        <v>1872</v>
      </c>
      <c r="L708" s="5" t="s">
        <v>1680</v>
      </c>
      <c r="M708" s="5" t="s">
        <v>1681</v>
      </c>
      <c r="N708" s="5" t="s">
        <v>1682</v>
      </c>
      <c r="O708" s="5" t="s">
        <v>1680</v>
      </c>
      <c r="P708" s="6">
        <v>496</v>
      </c>
      <c r="Q708" s="6">
        <v>5286</v>
      </c>
      <c r="R708" s="6">
        <v>0</v>
      </c>
      <c r="S708" s="6">
        <v>4790</v>
      </c>
      <c r="T708" s="6">
        <v>0</v>
      </c>
    </row>
    <row r="709" spans="1:20">
      <c r="A709" s="5" t="s">
        <v>1672</v>
      </c>
      <c r="B709" s="5" t="s">
        <v>1673</v>
      </c>
      <c r="C709" s="5" t="s">
        <v>1715</v>
      </c>
      <c r="D709" s="5" t="s">
        <v>325</v>
      </c>
      <c r="E709" s="5" t="s">
        <v>1740</v>
      </c>
      <c r="F709" s="5" t="s">
        <v>1741</v>
      </c>
      <c r="G709" s="5" t="s">
        <v>1740</v>
      </c>
      <c r="H709" s="5" t="s">
        <v>1741</v>
      </c>
      <c r="I709" s="5" t="s">
        <v>1890</v>
      </c>
      <c r="J709" s="5" t="s">
        <v>1678</v>
      </c>
      <c r="K709" s="5" t="s">
        <v>1872</v>
      </c>
      <c r="L709" s="5" t="s">
        <v>1680</v>
      </c>
      <c r="M709" s="5" t="s">
        <v>1681</v>
      </c>
      <c r="N709" s="5" t="s">
        <v>1682</v>
      </c>
      <c r="O709" s="5" t="s">
        <v>1680</v>
      </c>
      <c r="P709" s="6">
        <v>496</v>
      </c>
      <c r="Q709" s="6">
        <v>5286</v>
      </c>
      <c r="R709" s="6">
        <v>0</v>
      </c>
      <c r="S709" s="6">
        <v>4790</v>
      </c>
      <c r="T709" s="6">
        <v>0</v>
      </c>
    </row>
    <row r="710" spans="1:20">
      <c r="A710" s="5" t="s">
        <v>1672</v>
      </c>
      <c r="B710" s="5" t="s">
        <v>1673</v>
      </c>
      <c r="C710" s="5" t="s">
        <v>1715</v>
      </c>
      <c r="D710" s="5" t="s">
        <v>325</v>
      </c>
      <c r="E710" s="5" t="s">
        <v>1742</v>
      </c>
      <c r="F710" s="5" t="s">
        <v>1743</v>
      </c>
      <c r="G710" s="5" t="s">
        <v>1744</v>
      </c>
      <c r="H710" s="5" t="s">
        <v>1745</v>
      </c>
      <c r="I710" s="5" t="s">
        <v>1890</v>
      </c>
      <c r="J710" s="5" t="s">
        <v>1678</v>
      </c>
      <c r="K710" s="5" t="s">
        <v>1872</v>
      </c>
      <c r="L710" s="5" t="s">
        <v>1680</v>
      </c>
      <c r="M710" s="5" t="s">
        <v>1681</v>
      </c>
      <c r="N710" s="5" t="s">
        <v>1682</v>
      </c>
      <c r="O710" s="5" t="s">
        <v>1680</v>
      </c>
      <c r="P710" s="6">
        <v>496</v>
      </c>
      <c r="Q710" s="6">
        <v>5286</v>
      </c>
      <c r="R710" s="6">
        <v>0</v>
      </c>
      <c r="S710" s="6">
        <v>4790</v>
      </c>
      <c r="T710" s="6">
        <v>0</v>
      </c>
    </row>
    <row r="711" spans="1:20">
      <c r="A711" s="5" t="s">
        <v>1672</v>
      </c>
      <c r="B711" s="5" t="s">
        <v>1673</v>
      </c>
      <c r="C711" s="5" t="s">
        <v>1715</v>
      </c>
      <c r="D711" s="5" t="s">
        <v>325</v>
      </c>
      <c r="E711" s="5" t="s">
        <v>1746</v>
      </c>
      <c r="F711" s="5" t="s">
        <v>1747</v>
      </c>
      <c r="G711" s="5" t="s">
        <v>1748</v>
      </c>
      <c r="H711" s="5" t="s">
        <v>1749</v>
      </c>
      <c r="I711" s="5" t="s">
        <v>1890</v>
      </c>
      <c r="J711" s="5" t="s">
        <v>1678</v>
      </c>
      <c r="K711" s="5" t="s">
        <v>1872</v>
      </c>
      <c r="L711" s="5" t="s">
        <v>1680</v>
      </c>
      <c r="M711" s="5" t="s">
        <v>1681</v>
      </c>
      <c r="N711" s="5" t="s">
        <v>1682</v>
      </c>
      <c r="O711" s="5" t="s">
        <v>1680</v>
      </c>
      <c r="P711" s="6">
        <v>496</v>
      </c>
      <c r="Q711" s="6">
        <v>5286</v>
      </c>
      <c r="R711" s="6">
        <v>0</v>
      </c>
      <c r="S711" s="6">
        <v>4790</v>
      </c>
      <c r="T711" s="6">
        <v>0</v>
      </c>
    </row>
    <row r="712" spans="1:20">
      <c r="A712" s="5" t="s">
        <v>1672</v>
      </c>
      <c r="B712" s="5" t="s">
        <v>1673</v>
      </c>
      <c r="C712" s="5" t="s">
        <v>1715</v>
      </c>
      <c r="D712" s="5" t="s">
        <v>325</v>
      </c>
      <c r="E712" s="5" t="s">
        <v>1750</v>
      </c>
      <c r="F712" s="5" t="s">
        <v>1751</v>
      </c>
      <c r="G712" s="5" t="s">
        <v>1752</v>
      </c>
      <c r="H712" s="5" t="s">
        <v>1753</v>
      </c>
      <c r="I712" s="5" t="s">
        <v>1890</v>
      </c>
      <c r="J712" s="5" t="s">
        <v>1678</v>
      </c>
      <c r="K712" s="5" t="s">
        <v>1872</v>
      </c>
      <c r="L712" s="5" t="s">
        <v>1680</v>
      </c>
      <c r="M712" s="5" t="s">
        <v>1681</v>
      </c>
      <c r="N712" s="5" t="s">
        <v>1682</v>
      </c>
      <c r="O712" s="5" t="s">
        <v>1680</v>
      </c>
      <c r="P712" s="6">
        <v>496</v>
      </c>
      <c r="Q712" s="6">
        <v>5286</v>
      </c>
      <c r="R712" s="6">
        <v>0</v>
      </c>
      <c r="S712" s="6">
        <v>4790</v>
      </c>
      <c r="T712" s="6">
        <v>0</v>
      </c>
    </row>
    <row r="713" spans="1:20">
      <c r="A713" s="5" t="s">
        <v>1672</v>
      </c>
      <c r="B713" s="5" t="s">
        <v>1673</v>
      </c>
      <c r="C713" s="5" t="s">
        <v>1715</v>
      </c>
      <c r="D713" s="5" t="s">
        <v>325</v>
      </c>
      <c r="E713" s="5" t="s">
        <v>1754</v>
      </c>
      <c r="F713" s="5" t="s">
        <v>1755</v>
      </c>
      <c r="G713" s="5" t="s">
        <v>1756</v>
      </c>
      <c r="H713" s="5" t="s">
        <v>1757</v>
      </c>
      <c r="I713" s="5" t="s">
        <v>1890</v>
      </c>
      <c r="J713" s="5" t="s">
        <v>1678</v>
      </c>
      <c r="K713" s="5" t="s">
        <v>1872</v>
      </c>
      <c r="L713" s="5" t="s">
        <v>1680</v>
      </c>
      <c r="M713" s="5" t="s">
        <v>1681</v>
      </c>
      <c r="N713" s="5" t="s">
        <v>1682</v>
      </c>
      <c r="O713" s="5" t="s">
        <v>1680</v>
      </c>
      <c r="P713" s="6">
        <v>496</v>
      </c>
      <c r="Q713" s="6">
        <v>5286</v>
      </c>
      <c r="R713" s="6">
        <v>0</v>
      </c>
      <c r="S713" s="6">
        <v>4790</v>
      </c>
      <c r="T713" s="6">
        <v>0</v>
      </c>
    </row>
    <row r="714" spans="1:20">
      <c r="A714" s="5" t="s">
        <v>1672</v>
      </c>
      <c r="B714" s="5" t="s">
        <v>1673</v>
      </c>
      <c r="C714" s="5" t="s">
        <v>1715</v>
      </c>
      <c r="D714" s="5" t="s">
        <v>325</v>
      </c>
      <c r="E714" s="5" t="s">
        <v>1758</v>
      </c>
      <c r="F714" s="5" t="s">
        <v>1759</v>
      </c>
      <c r="G714" s="5" t="s">
        <v>1758</v>
      </c>
      <c r="H714" s="5" t="s">
        <v>1759</v>
      </c>
      <c r="I714" s="5" t="s">
        <v>1890</v>
      </c>
      <c r="J714" s="5" t="s">
        <v>1678</v>
      </c>
      <c r="K714" s="5" t="s">
        <v>1872</v>
      </c>
      <c r="L714" s="5" t="s">
        <v>1680</v>
      </c>
      <c r="M714" s="5" t="s">
        <v>1681</v>
      </c>
      <c r="N714" s="5" t="s">
        <v>1682</v>
      </c>
      <c r="O714" s="5" t="s">
        <v>1680</v>
      </c>
      <c r="P714" s="6">
        <v>496</v>
      </c>
      <c r="Q714" s="6">
        <v>5286</v>
      </c>
      <c r="R714" s="6">
        <v>0</v>
      </c>
      <c r="S714" s="6">
        <v>4790</v>
      </c>
      <c r="T714" s="6">
        <v>0</v>
      </c>
    </row>
    <row r="715" spans="1:20">
      <c r="A715" s="5" t="s">
        <v>1672</v>
      </c>
      <c r="B715" s="5" t="s">
        <v>1673</v>
      </c>
      <c r="C715" s="5" t="s">
        <v>1715</v>
      </c>
      <c r="D715" s="5" t="s">
        <v>325</v>
      </c>
      <c r="E715" s="5" t="s">
        <v>1760</v>
      </c>
      <c r="F715" s="5" t="s">
        <v>1761</v>
      </c>
      <c r="G715" s="5" t="s">
        <v>1760</v>
      </c>
      <c r="H715" s="5" t="s">
        <v>1761</v>
      </c>
      <c r="I715" s="5" t="s">
        <v>1890</v>
      </c>
      <c r="J715" s="5" t="s">
        <v>1678</v>
      </c>
      <c r="K715" s="5" t="s">
        <v>1872</v>
      </c>
      <c r="L715" s="5" t="s">
        <v>1680</v>
      </c>
      <c r="M715" s="5" t="s">
        <v>1681</v>
      </c>
      <c r="N715" s="5" t="s">
        <v>1682</v>
      </c>
      <c r="O715" s="5" t="s">
        <v>1680</v>
      </c>
      <c r="P715" s="6">
        <v>496</v>
      </c>
      <c r="Q715" s="6">
        <v>5286</v>
      </c>
      <c r="R715" s="6">
        <v>0</v>
      </c>
      <c r="S715" s="6">
        <v>4790</v>
      </c>
      <c r="T715" s="6">
        <v>0</v>
      </c>
    </row>
    <row r="716" spans="1:20">
      <c r="A716" s="5" t="s">
        <v>1672</v>
      </c>
      <c r="B716" s="5" t="s">
        <v>1673</v>
      </c>
      <c r="C716" s="5" t="s">
        <v>1715</v>
      </c>
      <c r="D716" s="5" t="s">
        <v>325</v>
      </c>
      <c r="E716" s="5" t="s">
        <v>1762</v>
      </c>
      <c r="F716" s="5" t="s">
        <v>1763</v>
      </c>
      <c r="G716" s="5" t="s">
        <v>1764</v>
      </c>
      <c r="H716" s="5" t="s">
        <v>1765</v>
      </c>
      <c r="I716" s="5" t="s">
        <v>1890</v>
      </c>
      <c r="J716" s="5" t="s">
        <v>1678</v>
      </c>
      <c r="K716" s="5" t="s">
        <v>1872</v>
      </c>
      <c r="L716" s="5" t="s">
        <v>1680</v>
      </c>
      <c r="M716" s="5" t="s">
        <v>1681</v>
      </c>
      <c r="N716" s="5" t="s">
        <v>1682</v>
      </c>
      <c r="O716" s="5" t="s">
        <v>1680</v>
      </c>
      <c r="P716" s="6">
        <v>496</v>
      </c>
      <c r="Q716" s="6">
        <v>5286</v>
      </c>
      <c r="R716" s="6">
        <v>0</v>
      </c>
      <c r="S716" s="6">
        <v>4790</v>
      </c>
      <c r="T716" s="6">
        <v>0</v>
      </c>
    </row>
    <row r="717" spans="1:20">
      <c r="A717" s="5" t="s">
        <v>1672</v>
      </c>
      <c r="B717" s="5" t="s">
        <v>1673</v>
      </c>
      <c r="C717" s="5" t="s">
        <v>1715</v>
      </c>
      <c r="D717" s="5" t="s">
        <v>325</v>
      </c>
      <c r="E717" s="5" t="s">
        <v>1766</v>
      </c>
      <c r="F717" s="5" t="s">
        <v>1767</v>
      </c>
      <c r="G717" s="5" t="s">
        <v>1766</v>
      </c>
      <c r="H717" s="5" t="s">
        <v>1767</v>
      </c>
      <c r="I717" s="5" t="s">
        <v>1890</v>
      </c>
      <c r="J717" s="5" t="s">
        <v>1678</v>
      </c>
      <c r="K717" s="5" t="s">
        <v>1872</v>
      </c>
      <c r="L717" s="5" t="s">
        <v>1680</v>
      </c>
      <c r="M717" s="5" t="s">
        <v>1681</v>
      </c>
      <c r="N717" s="5" t="s">
        <v>1682</v>
      </c>
      <c r="O717" s="5" t="s">
        <v>1680</v>
      </c>
      <c r="P717" s="6">
        <v>496</v>
      </c>
      <c r="Q717" s="6">
        <v>5286</v>
      </c>
      <c r="R717" s="6">
        <v>0</v>
      </c>
      <c r="S717" s="6">
        <v>4790</v>
      </c>
      <c r="T717" s="6">
        <v>0</v>
      </c>
    </row>
    <row r="718" spans="1:20">
      <c r="A718" s="5" t="s">
        <v>1672</v>
      </c>
      <c r="B718" s="5" t="s">
        <v>1673</v>
      </c>
      <c r="C718" s="5" t="s">
        <v>1715</v>
      </c>
      <c r="D718" s="5" t="s">
        <v>325</v>
      </c>
      <c r="E718" s="5" t="s">
        <v>1768</v>
      </c>
      <c r="F718" s="5" t="s">
        <v>1769</v>
      </c>
      <c r="G718" s="5" t="s">
        <v>1770</v>
      </c>
      <c r="H718" s="5" t="s">
        <v>1771</v>
      </c>
      <c r="I718" s="5" t="s">
        <v>1890</v>
      </c>
      <c r="J718" s="5" t="s">
        <v>1678</v>
      </c>
      <c r="K718" s="5" t="s">
        <v>1872</v>
      </c>
      <c r="L718" s="5" t="s">
        <v>1680</v>
      </c>
      <c r="M718" s="5" t="s">
        <v>1681</v>
      </c>
      <c r="N718" s="5" t="s">
        <v>1682</v>
      </c>
      <c r="O718" s="5" t="s">
        <v>1680</v>
      </c>
      <c r="P718" s="6">
        <v>496</v>
      </c>
      <c r="Q718" s="6">
        <v>5286</v>
      </c>
      <c r="R718" s="6">
        <v>0</v>
      </c>
      <c r="S718" s="6">
        <v>4790</v>
      </c>
      <c r="T718" s="6">
        <v>0</v>
      </c>
    </row>
    <row r="719" spans="1:20">
      <c r="A719" s="5" t="s">
        <v>1672</v>
      </c>
      <c r="B719" s="5" t="s">
        <v>1673</v>
      </c>
      <c r="C719" s="5" t="s">
        <v>1715</v>
      </c>
      <c r="D719" s="5" t="s">
        <v>325</v>
      </c>
      <c r="E719" s="5" t="s">
        <v>1772</v>
      </c>
      <c r="F719" s="5" t="s">
        <v>1773</v>
      </c>
      <c r="G719" s="5" t="s">
        <v>1774</v>
      </c>
      <c r="H719" s="5" t="s">
        <v>1775</v>
      </c>
      <c r="I719" s="5" t="s">
        <v>1890</v>
      </c>
      <c r="J719" s="5" t="s">
        <v>1678</v>
      </c>
      <c r="K719" s="5" t="s">
        <v>1872</v>
      </c>
      <c r="L719" s="5" t="s">
        <v>1680</v>
      </c>
      <c r="M719" s="5" t="s">
        <v>1681</v>
      </c>
      <c r="N719" s="5" t="s">
        <v>1682</v>
      </c>
      <c r="O719" s="5" t="s">
        <v>1680</v>
      </c>
      <c r="P719" s="6">
        <v>496</v>
      </c>
      <c r="Q719" s="6">
        <v>5286</v>
      </c>
      <c r="R719" s="6">
        <v>0</v>
      </c>
      <c r="S719" s="6">
        <v>4790</v>
      </c>
      <c r="T719" s="6">
        <v>0</v>
      </c>
    </row>
    <row r="720" spans="1:20">
      <c r="A720" s="5" t="s">
        <v>1672</v>
      </c>
      <c r="B720" s="5" t="s">
        <v>1673</v>
      </c>
      <c r="C720" s="5" t="s">
        <v>1715</v>
      </c>
      <c r="D720" s="5" t="s">
        <v>325</v>
      </c>
      <c r="E720" s="5" t="s">
        <v>1776</v>
      </c>
      <c r="F720" s="5" t="s">
        <v>1777</v>
      </c>
      <c r="G720" s="5" t="s">
        <v>1778</v>
      </c>
      <c r="H720" s="5" t="s">
        <v>1779</v>
      </c>
      <c r="I720" s="5" t="s">
        <v>1890</v>
      </c>
      <c r="J720" s="5" t="s">
        <v>1678</v>
      </c>
      <c r="K720" s="5" t="s">
        <v>1872</v>
      </c>
      <c r="L720" s="5" t="s">
        <v>1680</v>
      </c>
      <c r="M720" s="5" t="s">
        <v>1681</v>
      </c>
      <c r="N720" s="5" t="s">
        <v>1682</v>
      </c>
      <c r="O720" s="5" t="s">
        <v>1680</v>
      </c>
      <c r="P720" s="6">
        <v>496</v>
      </c>
      <c r="Q720" s="6">
        <v>5286</v>
      </c>
      <c r="R720" s="6">
        <v>0</v>
      </c>
      <c r="S720" s="6">
        <v>4790</v>
      </c>
      <c r="T720" s="6">
        <v>0</v>
      </c>
    </row>
    <row r="721" spans="1:20">
      <c r="A721" s="5" t="s">
        <v>1672</v>
      </c>
      <c r="B721" s="5" t="s">
        <v>1673</v>
      </c>
      <c r="C721" s="5" t="s">
        <v>1715</v>
      </c>
      <c r="D721" s="5" t="s">
        <v>325</v>
      </c>
      <c r="E721" s="5" t="s">
        <v>1780</v>
      </c>
      <c r="F721" s="5" t="s">
        <v>1781</v>
      </c>
      <c r="G721" s="5" t="s">
        <v>1780</v>
      </c>
      <c r="H721" s="5" t="s">
        <v>1781</v>
      </c>
      <c r="I721" s="5" t="s">
        <v>1890</v>
      </c>
      <c r="J721" s="5" t="s">
        <v>1678</v>
      </c>
      <c r="K721" s="5" t="s">
        <v>1872</v>
      </c>
      <c r="L721" s="5" t="s">
        <v>1680</v>
      </c>
      <c r="M721" s="5" t="s">
        <v>1681</v>
      </c>
      <c r="N721" s="5" t="s">
        <v>1682</v>
      </c>
      <c r="O721" s="5" t="s">
        <v>1680</v>
      </c>
      <c r="P721" s="6">
        <v>496</v>
      </c>
      <c r="Q721" s="6">
        <v>5286</v>
      </c>
      <c r="R721" s="6">
        <v>0</v>
      </c>
      <c r="S721" s="6">
        <v>4790</v>
      </c>
      <c r="T721" s="6">
        <v>0</v>
      </c>
    </row>
    <row r="722" spans="1:20">
      <c r="A722" s="5" t="s">
        <v>1672</v>
      </c>
      <c r="B722" s="5" t="s">
        <v>1673</v>
      </c>
      <c r="C722" s="5" t="s">
        <v>1715</v>
      </c>
      <c r="D722" s="5" t="s">
        <v>325</v>
      </c>
      <c r="E722" s="5" t="s">
        <v>1782</v>
      </c>
      <c r="F722" s="5" t="s">
        <v>1783</v>
      </c>
      <c r="G722" s="5" t="s">
        <v>1782</v>
      </c>
      <c r="H722" s="5" t="s">
        <v>1783</v>
      </c>
      <c r="I722" s="5" t="s">
        <v>1890</v>
      </c>
      <c r="J722" s="5" t="s">
        <v>1678</v>
      </c>
      <c r="K722" s="5" t="s">
        <v>1872</v>
      </c>
      <c r="L722" s="5" t="s">
        <v>1680</v>
      </c>
      <c r="M722" s="5" t="s">
        <v>1681</v>
      </c>
      <c r="N722" s="5" t="s">
        <v>1682</v>
      </c>
      <c r="O722" s="5" t="s">
        <v>1680</v>
      </c>
      <c r="P722" s="6">
        <v>496</v>
      </c>
      <c r="Q722" s="6">
        <v>5286</v>
      </c>
      <c r="R722" s="6">
        <v>0</v>
      </c>
      <c r="S722" s="6">
        <v>4790</v>
      </c>
      <c r="T722" s="6">
        <v>0</v>
      </c>
    </row>
    <row r="723" spans="1:20">
      <c r="A723" s="5" t="s">
        <v>1672</v>
      </c>
      <c r="B723" s="5" t="s">
        <v>1673</v>
      </c>
      <c r="C723" s="5" t="s">
        <v>1715</v>
      </c>
      <c r="D723" s="5" t="s">
        <v>325</v>
      </c>
      <c r="E723" s="5" t="s">
        <v>1784</v>
      </c>
      <c r="F723" s="5" t="s">
        <v>1785</v>
      </c>
      <c r="G723" s="5" t="s">
        <v>1786</v>
      </c>
      <c r="H723" s="5" t="s">
        <v>1787</v>
      </c>
      <c r="I723" s="5" t="s">
        <v>1890</v>
      </c>
      <c r="J723" s="5" t="s">
        <v>1678</v>
      </c>
      <c r="K723" s="5" t="s">
        <v>1872</v>
      </c>
      <c r="L723" s="5" t="s">
        <v>1680</v>
      </c>
      <c r="M723" s="5" t="s">
        <v>1681</v>
      </c>
      <c r="N723" s="5" t="s">
        <v>1682</v>
      </c>
      <c r="O723" s="5" t="s">
        <v>1680</v>
      </c>
      <c r="P723" s="6">
        <v>496</v>
      </c>
      <c r="Q723" s="6">
        <v>5286</v>
      </c>
      <c r="R723" s="6">
        <v>0</v>
      </c>
      <c r="S723" s="6">
        <v>4790</v>
      </c>
      <c r="T723" s="6">
        <v>0</v>
      </c>
    </row>
    <row r="724" spans="1:20">
      <c r="A724" s="5" t="s">
        <v>1672</v>
      </c>
      <c r="B724" s="5" t="s">
        <v>1673</v>
      </c>
      <c r="C724" s="5" t="s">
        <v>1715</v>
      </c>
      <c r="D724" s="5" t="s">
        <v>325</v>
      </c>
      <c r="E724" s="5" t="s">
        <v>1788</v>
      </c>
      <c r="F724" s="5" t="s">
        <v>1789</v>
      </c>
      <c r="G724" s="5" t="s">
        <v>1790</v>
      </c>
      <c r="H724" s="5" t="s">
        <v>1791</v>
      </c>
      <c r="I724" s="5" t="s">
        <v>1890</v>
      </c>
      <c r="J724" s="5" t="s">
        <v>1678</v>
      </c>
      <c r="K724" s="5" t="s">
        <v>1872</v>
      </c>
      <c r="L724" s="5" t="s">
        <v>1680</v>
      </c>
      <c r="M724" s="5" t="s">
        <v>1681</v>
      </c>
      <c r="N724" s="5" t="s">
        <v>1682</v>
      </c>
      <c r="O724" s="5" t="s">
        <v>1680</v>
      </c>
      <c r="P724" s="6">
        <v>496</v>
      </c>
      <c r="Q724" s="6">
        <v>5286</v>
      </c>
      <c r="R724" s="6">
        <v>0</v>
      </c>
      <c r="S724" s="6">
        <v>4790</v>
      </c>
      <c r="T724" s="6">
        <v>0</v>
      </c>
    </row>
    <row r="725" spans="1:20">
      <c r="A725" s="5" t="s">
        <v>1672</v>
      </c>
      <c r="B725" s="5" t="s">
        <v>1673</v>
      </c>
      <c r="C725" s="5" t="s">
        <v>1715</v>
      </c>
      <c r="D725" s="5" t="s">
        <v>325</v>
      </c>
      <c r="E725" s="5" t="s">
        <v>1792</v>
      </c>
      <c r="F725" s="5" t="s">
        <v>1793</v>
      </c>
      <c r="G725" s="5" t="s">
        <v>1794</v>
      </c>
      <c r="H725" s="5" t="s">
        <v>1795</v>
      </c>
      <c r="I725" s="5" t="s">
        <v>1890</v>
      </c>
      <c r="J725" s="5" t="s">
        <v>1678</v>
      </c>
      <c r="K725" s="5" t="s">
        <v>1872</v>
      </c>
      <c r="L725" s="5" t="s">
        <v>1680</v>
      </c>
      <c r="M725" s="5" t="s">
        <v>1681</v>
      </c>
      <c r="N725" s="5" t="s">
        <v>1682</v>
      </c>
      <c r="O725" s="5" t="s">
        <v>1680</v>
      </c>
      <c r="P725" s="6">
        <v>496</v>
      </c>
      <c r="Q725" s="6">
        <v>5286</v>
      </c>
      <c r="R725" s="6">
        <v>0</v>
      </c>
      <c r="S725" s="6">
        <v>4790</v>
      </c>
      <c r="T725" s="6">
        <v>0</v>
      </c>
    </row>
    <row r="726" spans="1:20">
      <c r="A726" s="5" t="s">
        <v>1672</v>
      </c>
      <c r="B726" s="5" t="s">
        <v>1673</v>
      </c>
      <c r="C726" s="5" t="s">
        <v>1715</v>
      </c>
      <c r="D726" s="5" t="s">
        <v>325</v>
      </c>
      <c r="E726" s="5" t="s">
        <v>1796</v>
      </c>
      <c r="F726" s="5" t="s">
        <v>1797</v>
      </c>
      <c r="G726" s="5" t="s">
        <v>1796</v>
      </c>
      <c r="H726" s="5" t="s">
        <v>1797</v>
      </c>
      <c r="I726" s="5" t="s">
        <v>1890</v>
      </c>
      <c r="J726" s="5" t="s">
        <v>1678</v>
      </c>
      <c r="K726" s="5" t="s">
        <v>1872</v>
      </c>
      <c r="L726" s="5" t="s">
        <v>1680</v>
      </c>
      <c r="M726" s="5" t="s">
        <v>1681</v>
      </c>
      <c r="N726" s="5" t="s">
        <v>1682</v>
      </c>
      <c r="O726" s="5" t="s">
        <v>1680</v>
      </c>
      <c r="P726" s="6">
        <v>496</v>
      </c>
      <c r="Q726" s="6">
        <v>5286</v>
      </c>
      <c r="R726" s="6">
        <v>0</v>
      </c>
      <c r="S726" s="6">
        <v>4790</v>
      </c>
      <c r="T726" s="6">
        <v>0</v>
      </c>
    </row>
    <row r="727" spans="1:20">
      <c r="A727" s="5" t="s">
        <v>1672</v>
      </c>
      <c r="B727" s="5" t="s">
        <v>1673</v>
      </c>
      <c r="C727" s="5" t="s">
        <v>1715</v>
      </c>
      <c r="D727" s="5" t="s">
        <v>325</v>
      </c>
      <c r="E727" s="5" t="s">
        <v>1798</v>
      </c>
      <c r="F727" s="5" t="s">
        <v>1799</v>
      </c>
      <c r="G727" s="5" t="s">
        <v>1798</v>
      </c>
      <c r="H727" s="5" t="s">
        <v>1799</v>
      </c>
      <c r="I727" s="5" t="s">
        <v>1890</v>
      </c>
      <c r="J727" s="5" t="s">
        <v>1678</v>
      </c>
      <c r="K727" s="5" t="s">
        <v>1872</v>
      </c>
      <c r="L727" s="5" t="s">
        <v>1680</v>
      </c>
      <c r="M727" s="5" t="s">
        <v>1681</v>
      </c>
      <c r="N727" s="5" t="s">
        <v>1682</v>
      </c>
      <c r="O727" s="5" t="s">
        <v>1680</v>
      </c>
      <c r="P727" s="6">
        <v>496</v>
      </c>
      <c r="Q727" s="6">
        <v>5286</v>
      </c>
      <c r="R727" s="6">
        <v>0</v>
      </c>
      <c r="S727" s="6">
        <v>4790</v>
      </c>
      <c r="T727" s="6">
        <v>0</v>
      </c>
    </row>
    <row r="728" spans="1:20">
      <c r="A728" s="5" t="s">
        <v>1672</v>
      </c>
      <c r="B728" s="5" t="s">
        <v>1673</v>
      </c>
      <c r="C728" s="5" t="s">
        <v>1715</v>
      </c>
      <c r="D728" s="5" t="s">
        <v>325</v>
      </c>
      <c r="E728" s="5" t="s">
        <v>1800</v>
      </c>
      <c r="F728" s="5" t="s">
        <v>1801</v>
      </c>
      <c r="G728" s="5" t="s">
        <v>1800</v>
      </c>
      <c r="H728" s="5" t="s">
        <v>1801</v>
      </c>
      <c r="I728" s="5" t="s">
        <v>1890</v>
      </c>
      <c r="J728" s="5" t="s">
        <v>1678</v>
      </c>
      <c r="K728" s="5" t="s">
        <v>1872</v>
      </c>
      <c r="L728" s="5" t="s">
        <v>1680</v>
      </c>
      <c r="M728" s="5" t="s">
        <v>1681</v>
      </c>
      <c r="N728" s="5" t="s">
        <v>1682</v>
      </c>
      <c r="O728" s="5" t="s">
        <v>1680</v>
      </c>
      <c r="P728" s="6">
        <v>496</v>
      </c>
      <c r="Q728" s="6">
        <v>5286</v>
      </c>
      <c r="R728" s="6">
        <v>0</v>
      </c>
      <c r="S728" s="6">
        <v>4790</v>
      </c>
      <c r="T728" s="6">
        <v>0</v>
      </c>
    </row>
    <row r="729" spans="1:20">
      <c r="A729" s="5" t="s">
        <v>1672</v>
      </c>
      <c r="B729" s="5" t="s">
        <v>1673</v>
      </c>
      <c r="C729" s="5" t="s">
        <v>1715</v>
      </c>
      <c r="D729" s="5" t="s">
        <v>325</v>
      </c>
      <c r="E729" s="5" t="s">
        <v>1802</v>
      </c>
      <c r="F729" s="5" t="s">
        <v>1803</v>
      </c>
      <c r="G729" s="5" t="s">
        <v>1804</v>
      </c>
      <c r="H729" s="5" t="s">
        <v>1805</v>
      </c>
      <c r="I729" s="5" t="s">
        <v>1890</v>
      </c>
      <c r="J729" s="5" t="s">
        <v>1678</v>
      </c>
      <c r="K729" s="5" t="s">
        <v>1872</v>
      </c>
      <c r="L729" s="5" t="s">
        <v>1680</v>
      </c>
      <c r="M729" s="5" t="s">
        <v>1681</v>
      </c>
      <c r="N729" s="5" t="s">
        <v>1682</v>
      </c>
      <c r="O729" s="5" t="s">
        <v>1680</v>
      </c>
      <c r="P729" s="6">
        <v>496</v>
      </c>
      <c r="Q729" s="6">
        <v>5286</v>
      </c>
      <c r="R729" s="6">
        <v>0</v>
      </c>
      <c r="S729" s="6">
        <v>4790</v>
      </c>
      <c r="T729" s="6">
        <v>0</v>
      </c>
    </row>
    <row r="730" spans="1:20">
      <c r="A730" s="5" t="s">
        <v>1672</v>
      </c>
      <c r="B730" s="5" t="s">
        <v>1673</v>
      </c>
      <c r="C730" s="5" t="s">
        <v>1715</v>
      </c>
      <c r="D730" s="5" t="s">
        <v>325</v>
      </c>
      <c r="E730" s="5" t="s">
        <v>1806</v>
      </c>
      <c r="F730" s="5" t="s">
        <v>1807</v>
      </c>
      <c r="G730" s="5" t="s">
        <v>1808</v>
      </c>
      <c r="H730" s="5" t="s">
        <v>1809</v>
      </c>
      <c r="I730" s="5" t="s">
        <v>1890</v>
      </c>
      <c r="J730" s="5" t="s">
        <v>1678</v>
      </c>
      <c r="K730" s="5" t="s">
        <v>1872</v>
      </c>
      <c r="L730" s="5" t="s">
        <v>1680</v>
      </c>
      <c r="M730" s="5" t="s">
        <v>1681</v>
      </c>
      <c r="N730" s="5" t="s">
        <v>1682</v>
      </c>
      <c r="O730" s="5" t="s">
        <v>1680</v>
      </c>
      <c r="P730" s="6">
        <v>496</v>
      </c>
      <c r="Q730" s="6">
        <v>5286</v>
      </c>
      <c r="R730" s="6">
        <v>0</v>
      </c>
      <c r="S730" s="6">
        <v>4790</v>
      </c>
      <c r="T730" s="6">
        <v>0</v>
      </c>
    </row>
    <row r="731" spans="1:20">
      <c r="A731" s="5" t="s">
        <v>1672</v>
      </c>
      <c r="B731" s="5" t="s">
        <v>1673</v>
      </c>
      <c r="C731" s="5" t="s">
        <v>1715</v>
      </c>
      <c r="D731" s="5" t="s">
        <v>325</v>
      </c>
      <c r="E731" s="5" t="s">
        <v>1810</v>
      </c>
      <c r="F731" s="5" t="s">
        <v>1811</v>
      </c>
      <c r="G731" s="5" t="s">
        <v>1812</v>
      </c>
      <c r="H731" s="5" t="s">
        <v>1813</v>
      </c>
      <c r="I731" s="5" t="s">
        <v>1890</v>
      </c>
      <c r="J731" s="5" t="s">
        <v>1678</v>
      </c>
      <c r="K731" s="5" t="s">
        <v>1872</v>
      </c>
      <c r="L731" s="5" t="s">
        <v>1680</v>
      </c>
      <c r="M731" s="5" t="s">
        <v>1681</v>
      </c>
      <c r="N731" s="5" t="s">
        <v>1682</v>
      </c>
      <c r="O731" s="5" t="s">
        <v>1680</v>
      </c>
      <c r="P731" s="6">
        <v>496</v>
      </c>
      <c r="Q731" s="6">
        <v>5286</v>
      </c>
      <c r="R731" s="6">
        <v>0</v>
      </c>
      <c r="S731" s="6">
        <v>4790</v>
      </c>
      <c r="T731" s="6">
        <v>0</v>
      </c>
    </row>
    <row r="732" spans="1:20">
      <c r="A732" s="5" t="s">
        <v>1672</v>
      </c>
      <c r="B732" s="5" t="s">
        <v>1673</v>
      </c>
      <c r="C732" s="5" t="s">
        <v>1715</v>
      </c>
      <c r="D732" s="5" t="s">
        <v>325</v>
      </c>
      <c r="E732" s="5" t="s">
        <v>1814</v>
      </c>
      <c r="F732" s="5" t="s">
        <v>1815</v>
      </c>
      <c r="G732" s="5" t="s">
        <v>1814</v>
      </c>
      <c r="H732" s="5" t="s">
        <v>1815</v>
      </c>
      <c r="I732" s="5" t="s">
        <v>1890</v>
      </c>
      <c r="J732" s="5" t="s">
        <v>1678</v>
      </c>
      <c r="K732" s="5" t="s">
        <v>1872</v>
      </c>
      <c r="L732" s="5" t="s">
        <v>1680</v>
      </c>
      <c r="M732" s="5" t="s">
        <v>1681</v>
      </c>
      <c r="N732" s="5" t="s">
        <v>1682</v>
      </c>
      <c r="O732" s="5" t="s">
        <v>1680</v>
      </c>
      <c r="P732" s="6">
        <v>496</v>
      </c>
      <c r="Q732" s="6">
        <v>5286</v>
      </c>
      <c r="R732" s="6">
        <v>0</v>
      </c>
      <c r="S732" s="6">
        <v>4790</v>
      </c>
      <c r="T732" s="6">
        <v>0</v>
      </c>
    </row>
    <row r="733" spans="1:20">
      <c r="A733" s="5" t="s">
        <v>1672</v>
      </c>
      <c r="B733" s="5" t="s">
        <v>1673</v>
      </c>
      <c r="C733" s="5" t="s">
        <v>1715</v>
      </c>
      <c r="D733" s="5" t="s">
        <v>325</v>
      </c>
      <c r="E733" s="5" t="s">
        <v>1816</v>
      </c>
      <c r="F733" s="5" t="s">
        <v>1817</v>
      </c>
      <c r="G733" s="5" t="s">
        <v>1818</v>
      </c>
      <c r="H733" s="5" t="s">
        <v>1819</v>
      </c>
      <c r="I733" s="5" t="s">
        <v>1890</v>
      </c>
      <c r="J733" s="5" t="s">
        <v>1678</v>
      </c>
      <c r="K733" s="5" t="s">
        <v>1872</v>
      </c>
      <c r="L733" s="5" t="s">
        <v>1680</v>
      </c>
      <c r="M733" s="5" t="s">
        <v>1681</v>
      </c>
      <c r="N733" s="5" t="s">
        <v>1682</v>
      </c>
      <c r="O733" s="5" t="s">
        <v>1680</v>
      </c>
      <c r="P733" s="6">
        <v>496</v>
      </c>
      <c r="Q733" s="6">
        <v>5286</v>
      </c>
      <c r="R733" s="6">
        <v>0</v>
      </c>
      <c r="S733" s="6">
        <v>4790</v>
      </c>
      <c r="T733" s="6">
        <v>0</v>
      </c>
    </row>
    <row r="734" spans="1:20">
      <c r="A734" s="5" t="s">
        <v>1672</v>
      </c>
      <c r="B734" s="5" t="s">
        <v>1673</v>
      </c>
      <c r="C734" s="5" t="s">
        <v>1715</v>
      </c>
      <c r="D734" s="5" t="s">
        <v>325</v>
      </c>
      <c r="E734" s="5" t="s">
        <v>1820</v>
      </c>
      <c r="F734" s="5" t="s">
        <v>1821</v>
      </c>
      <c r="G734" s="5" t="s">
        <v>1822</v>
      </c>
      <c r="H734" s="5" t="s">
        <v>1823</v>
      </c>
      <c r="I734" s="5" t="s">
        <v>1890</v>
      </c>
      <c r="J734" s="5" t="s">
        <v>1678</v>
      </c>
      <c r="K734" s="5" t="s">
        <v>1872</v>
      </c>
      <c r="L734" s="5" t="s">
        <v>1680</v>
      </c>
      <c r="M734" s="5" t="s">
        <v>1681</v>
      </c>
      <c r="N734" s="5" t="s">
        <v>1682</v>
      </c>
      <c r="O734" s="5" t="s">
        <v>1680</v>
      </c>
      <c r="P734" s="6">
        <v>496</v>
      </c>
      <c r="Q734" s="6">
        <v>5286</v>
      </c>
      <c r="R734" s="6">
        <v>0</v>
      </c>
      <c r="S734" s="6">
        <v>4790</v>
      </c>
      <c r="T734" s="6">
        <v>0</v>
      </c>
    </row>
    <row r="735" spans="1:20">
      <c r="A735" s="5" t="s">
        <v>1672</v>
      </c>
      <c r="B735" s="5" t="s">
        <v>1673</v>
      </c>
      <c r="C735" s="5" t="s">
        <v>1715</v>
      </c>
      <c r="D735" s="5" t="s">
        <v>325</v>
      </c>
      <c r="E735" s="5" t="s">
        <v>1824</v>
      </c>
      <c r="F735" s="5" t="s">
        <v>1825</v>
      </c>
      <c r="G735" s="5" t="s">
        <v>1826</v>
      </c>
      <c r="H735" s="5" t="s">
        <v>1827</v>
      </c>
      <c r="I735" s="5" t="s">
        <v>1890</v>
      </c>
      <c r="J735" s="5" t="s">
        <v>1678</v>
      </c>
      <c r="K735" s="5" t="s">
        <v>1872</v>
      </c>
      <c r="L735" s="5" t="s">
        <v>1680</v>
      </c>
      <c r="M735" s="5" t="s">
        <v>1681</v>
      </c>
      <c r="N735" s="5" t="s">
        <v>1682</v>
      </c>
      <c r="O735" s="5" t="s">
        <v>1680</v>
      </c>
      <c r="P735" s="6">
        <v>496</v>
      </c>
      <c r="Q735" s="6">
        <v>5286</v>
      </c>
      <c r="R735" s="6">
        <v>0</v>
      </c>
      <c r="S735" s="6">
        <v>4790</v>
      </c>
      <c r="T735" s="6">
        <v>0</v>
      </c>
    </row>
    <row r="736" spans="1:20">
      <c r="A736" s="5" t="s">
        <v>1672</v>
      </c>
      <c r="B736" s="5" t="s">
        <v>1673</v>
      </c>
      <c r="C736" s="5" t="s">
        <v>1715</v>
      </c>
      <c r="D736" s="5" t="s">
        <v>325</v>
      </c>
      <c r="E736" s="5" t="s">
        <v>1828</v>
      </c>
      <c r="F736" s="5" t="s">
        <v>1829</v>
      </c>
      <c r="G736" s="5" t="s">
        <v>1828</v>
      </c>
      <c r="H736" s="5" t="s">
        <v>1829</v>
      </c>
      <c r="I736" s="5" t="s">
        <v>1890</v>
      </c>
      <c r="J736" s="5" t="s">
        <v>1678</v>
      </c>
      <c r="K736" s="5" t="s">
        <v>1872</v>
      </c>
      <c r="L736" s="5" t="s">
        <v>1680</v>
      </c>
      <c r="M736" s="5" t="s">
        <v>1681</v>
      </c>
      <c r="N736" s="5" t="s">
        <v>1682</v>
      </c>
      <c r="O736" s="5" t="s">
        <v>1680</v>
      </c>
      <c r="P736" s="6">
        <v>496</v>
      </c>
      <c r="Q736" s="6">
        <v>5286</v>
      </c>
      <c r="R736" s="6">
        <v>0</v>
      </c>
      <c r="S736" s="6">
        <v>4790</v>
      </c>
      <c r="T736" s="6">
        <v>0</v>
      </c>
    </row>
    <row r="737" spans="1:20">
      <c r="A737" s="5" t="s">
        <v>1672</v>
      </c>
      <c r="B737" s="5" t="s">
        <v>1673</v>
      </c>
      <c r="C737" s="5" t="s">
        <v>1715</v>
      </c>
      <c r="D737" s="5" t="s">
        <v>325</v>
      </c>
      <c r="E737" s="5" t="s">
        <v>1830</v>
      </c>
      <c r="F737" s="5" t="s">
        <v>1831</v>
      </c>
      <c r="G737" s="5" t="s">
        <v>1830</v>
      </c>
      <c r="H737" s="5" t="s">
        <v>1831</v>
      </c>
      <c r="I737" s="5" t="s">
        <v>1890</v>
      </c>
      <c r="J737" s="5" t="s">
        <v>1678</v>
      </c>
      <c r="K737" s="5" t="s">
        <v>1872</v>
      </c>
      <c r="L737" s="5" t="s">
        <v>1680</v>
      </c>
      <c r="M737" s="5" t="s">
        <v>1681</v>
      </c>
      <c r="N737" s="5" t="s">
        <v>1682</v>
      </c>
      <c r="O737" s="5" t="s">
        <v>1680</v>
      </c>
      <c r="P737" s="6">
        <v>496</v>
      </c>
      <c r="Q737" s="6">
        <v>5286</v>
      </c>
      <c r="R737" s="6">
        <v>0</v>
      </c>
      <c r="S737" s="6">
        <v>4790</v>
      </c>
      <c r="T737" s="6">
        <v>0</v>
      </c>
    </row>
    <row r="738" spans="1:20">
      <c r="A738" s="5" t="s">
        <v>1672</v>
      </c>
      <c r="B738" s="5" t="s">
        <v>1673</v>
      </c>
      <c r="C738" s="5" t="s">
        <v>1715</v>
      </c>
      <c r="D738" s="5" t="s">
        <v>325</v>
      </c>
      <c r="E738" s="5" t="s">
        <v>1832</v>
      </c>
      <c r="F738" s="5" t="s">
        <v>1833</v>
      </c>
      <c r="G738" s="5" t="s">
        <v>1834</v>
      </c>
      <c r="H738" s="5" t="s">
        <v>1835</v>
      </c>
      <c r="I738" s="5" t="s">
        <v>1890</v>
      </c>
      <c r="J738" s="5" t="s">
        <v>1678</v>
      </c>
      <c r="K738" s="5" t="s">
        <v>1872</v>
      </c>
      <c r="L738" s="5" t="s">
        <v>1680</v>
      </c>
      <c r="M738" s="5" t="s">
        <v>1681</v>
      </c>
      <c r="N738" s="5" t="s">
        <v>1682</v>
      </c>
      <c r="O738" s="5" t="s">
        <v>1680</v>
      </c>
      <c r="P738" s="6">
        <v>496</v>
      </c>
      <c r="Q738" s="6">
        <v>5286</v>
      </c>
      <c r="R738" s="6">
        <v>0</v>
      </c>
      <c r="S738" s="6">
        <v>4790</v>
      </c>
      <c r="T738" s="6">
        <v>0</v>
      </c>
    </row>
    <row r="739" spans="1:20">
      <c r="A739" s="5" t="s">
        <v>1672</v>
      </c>
      <c r="B739" s="5" t="s">
        <v>1673</v>
      </c>
      <c r="C739" s="5" t="s">
        <v>1715</v>
      </c>
      <c r="D739" s="5" t="s">
        <v>325</v>
      </c>
      <c r="E739" s="5" t="s">
        <v>1836</v>
      </c>
      <c r="F739" s="5" t="s">
        <v>1837</v>
      </c>
      <c r="G739" s="5" t="s">
        <v>1836</v>
      </c>
      <c r="H739" s="5" t="s">
        <v>1837</v>
      </c>
      <c r="I739" s="5" t="s">
        <v>1890</v>
      </c>
      <c r="J739" s="5" t="s">
        <v>1678</v>
      </c>
      <c r="K739" s="5" t="s">
        <v>1872</v>
      </c>
      <c r="L739" s="5" t="s">
        <v>1680</v>
      </c>
      <c r="M739" s="5" t="s">
        <v>1681</v>
      </c>
      <c r="N739" s="5" t="s">
        <v>1682</v>
      </c>
      <c r="O739" s="5" t="s">
        <v>1680</v>
      </c>
      <c r="P739" s="6">
        <v>496</v>
      </c>
      <c r="Q739" s="6">
        <v>5286</v>
      </c>
      <c r="R739" s="6">
        <v>0</v>
      </c>
      <c r="S739" s="6">
        <v>4790</v>
      </c>
      <c r="T739" s="6">
        <v>0</v>
      </c>
    </row>
    <row r="740" spans="1:20">
      <c r="A740" s="5" t="s">
        <v>1672</v>
      </c>
      <c r="B740" s="5" t="s">
        <v>1673</v>
      </c>
      <c r="C740" s="5" t="s">
        <v>1715</v>
      </c>
      <c r="D740" s="5" t="s">
        <v>325</v>
      </c>
      <c r="E740" s="5" t="s">
        <v>1838</v>
      </c>
      <c r="F740" s="5" t="s">
        <v>1839</v>
      </c>
      <c r="G740" s="5" t="s">
        <v>1840</v>
      </c>
      <c r="H740" s="5" t="s">
        <v>1841</v>
      </c>
      <c r="I740" s="5" t="s">
        <v>1890</v>
      </c>
      <c r="J740" s="5" t="s">
        <v>1678</v>
      </c>
      <c r="K740" s="5" t="s">
        <v>1872</v>
      </c>
      <c r="L740" s="5" t="s">
        <v>1680</v>
      </c>
      <c r="M740" s="5" t="s">
        <v>1681</v>
      </c>
      <c r="N740" s="5" t="s">
        <v>1682</v>
      </c>
      <c r="O740" s="5" t="s">
        <v>1680</v>
      </c>
      <c r="P740" s="6">
        <v>496</v>
      </c>
      <c r="Q740" s="6">
        <v>5286</v>
      </c>
      <c r="R740" s="6">
        <v>0</v>
      </c>
      <c r="S740" s="6">
        <v>4790</v>
      </c>
      <c r="T740" s="6">
        <v>0</v>
      </c>
    </row>
    <row r="741" spans="1:20">
      <c r="A741" s="5" t="s">
        <v>1672</v>
      </c>
      <c r="B741" s="5" t="s">
        <v>1673</v>
      </c>
      <c r="C741" s="5" t="s">
        <v>1674</v>
      </c>
      <c r="D741" s="5" t="s">
        <v>2</v>
      </c>
      <c r="E741" s="5" t="s">
        <v>1675</v>
      </c>
      <c r="F741" s="5" t="s">
        <v>1676</v>
      </c>
      <c r="G741" s="5" t="s">
        <v>1675</v>
      </c>
      <c r="H741" s="5" t="s">
        <v>1676</v>
      </c>
      <c r="I741" s="5" t="s">
        <v>1891</v>
      </c>
      <c r="J741" s="5" t="s">
        <v>1678</v>
      </c>
      <c r="K741" s="5" t="s">
        <v>1872</v>
      </c>
      <c r="L741" s="5" t="s">
        <v>1680</v>
      </c>
      <c r="M741" s="5" t="s">
        <v>1681</v>
      </c>
      <c r="N741" s="5" t="s">
        <v>1682</v>
      </c>
      <c r="O741" s="5" t="s">
        <v>1680</v>
      </c>
      <c r="P741" s="6">
        <v>16227</v>
      </c>
      <c r="Q741" s="6">
        <v>16227</v>
      </c>
      <c r="R741" s="6">
        <v>0</v>
      </c>
      <c r="S741" s="6">
        <v>0</v>
      </c>
      <c r="T741" s="6">
        <v>0</v>
      </c>
    </row>
    <row r="742" spans="1:20">
      <c r="A742" s="5" t="s">
        <v>1672</v>
      </c>
      <c r="B742" s="5" t="s">
        <v>1673</v>
      </c>
      <c r="C742" s="5" t="s">
        <v>1674</v>
      </c>
      <c r="D742" s="5" t="s">
        <v>2</v>
      </c>
      <c r="E742" s="5" t="s">
        <v>1683</v>
      </c>
      <c r="F742" s="5" t="s">
        <v>1684</v>
      </c>
      <c r="G742" s="5" t="s">
        <v>1683</v>
      </c>
      <c r="H742" s="5" t="s">
        <v>1684</v>
      </c>
      <c r="I742" s="5" t="s">
        <v>1891</v>
      </c>
      <c r="J742" s="5" t="s">
        <v>1678</v>
      </c>
      <c r="K742" s="5" t="s">
        <v>1872</v>
      </c>
      <c r="L742" s="5" t="s">
        <v>1680</v>
      </c>
      <c r="M742" s="5" t="s">
        <v>1681</v>
      </c>
      <c r="N742" s="5" t="s">
        <v>1682</v>
      </c>
      <c r="O742" s="5" t="s">
        <v>1680</v>
      </c>
      <c r="P742" s="6">
        <v>16227</v>
      </c>
      <c r="Q742" s="6">
        <v>16227</v>
      </c>
      <c r="R742" s="6">
        <v>0</v>
      </c>
      <c r="S742" s="6">
        <v>0</v>
      </c>
      <c r="T742" s="6">
        <v>0</v>
      </c>
    </row>
    <row r="743" spans="1:20">
      <c r="A743" s="5" t="s">
        <v>1672</v>
      </c>
      <c r="B743" s="5" t="s">
        <v>1673</v>
      </c>
      <c r="C743" s="5" t="s">
        <v>1674</v>
      </c>
      <c r="D743" s="5" t="s">
        <v>2</v>
      </c>
      <c r="E743" s="5" t="s">
        <v>1685</v>
      </c>
      <c r="F743" s="5" t="s">
        <v>1686</v>
      </c>
      <c r="G743" s="5" t="s">
        <v>1685</v>
      </c>
      <c r="H743" s="5" t="s">
        <v>1686</v>
      </c>
      <c r="I743" s="5" t="s">
        <v>1891</v>
      </c>
      <c r="J743" s="5" t="s">
        <v>1678</v>
      </c>
      <c r="K743" s="5" t="s">
        <v>1872</v>
      </c>
      <c r="L743" s="5" t="s">
        <v>1680</v>
      </c>
      <c r="M743" s="5" t="s">
        <v>1681</v>
      </c>
      <c r="N743" s="5" t="s">
        <v>1682</v>
      </c>
      <c r="O743" s="5" t="s">
        <v>1680</v>
      </c>
      <c r="P743" s="6">
        <v>16227</v>
      </c>
      <c r="Q743" s="6">
        <v>16227</v>
      </c>
      <c r="R743" s="6">
        <v>0</v>
      </c>
      <c r="S743" s="6">
        <v>0</v>
      </c>
      <c r="T743" s="6">
        <v>0</v>
      </c>
    </row>
    <row r="744" spans="1:20">
      <c r="A744" s="5" t="s">
        <v>1672</v>
      </c>
      <c r="B744" s="5" t="s">
        <v>1673</v>
      </c>
      <c r="C744" s="5" t="s">
        <v>1674</v>
      </c>
      <c r="D744" s="5" t="s">
        <v>2</v>
      </c>
      <c r="E744" s="5" t="s">
        <v>1687</v>
      </c>
      <c r="F744" s="5" t="s">
        <v>1688</v>
      </c>
      <c r="G744" s="5" t="s">
        <v>1687</v>
      </c>
      <c r="H744" s="5" t="s">
        <v>1688</v>
      </c>
      <c r="I744" s="5" t="s">
        <v>1891</v>
      </c>
      <c r="J744" s="5" t="s">
        <v>1678</v>
      </c>
      <c r="K744" s="5" t="s">
        <v>1872</v>
      </c>
      <c r="L744" s="5" t="s">
        <v>1680</v>
      </c>
      <c r="M744" s="5" t="s">
        <v>1681</v>
      </c>
      <c r="N744" s="5" t="s">
        <v>1682</v>
      </c>
      <c r="O744" s="5" t="s">
        <v>1680</v>
      </c>
      <c r="P744" s="6">
        <v>16227</v>
      </c>
      <c r="Q744" s="6">
        <v>16227</v>
      </c>
      <c r="R744" s="6">
        <v>0</v>
      </c>
      <c r="S744" s="6">
        <v>0</v>
      </c>
      <c r="T744" s="6">
        <v>0</v>
      </c>
    </row>
    <row r="745" spans="1:20">
      <c r="A745" s="5" t="s">
        <v>1672</v>
      </c>
      <c r="B745" s="5" t="s">
        <v>1673</v>
      </c>
      <c r="C745" s="5" t="s">
        <v>1674</v>
      </c>
      <c r="D745" s="5" t="s">
        <v>2</v>
      </c>
      <c r="E745" s="5" t="s">
        <v>1689</v>
      </c>
      <c r="F745" s="5" t="s">
        <v>1690</v>
      </c>
      <c r="G745" s="5" t="s">
        <v>1689</v>
      </c>
      <c r="H745" s="5" t="s">
        <v>1690</v>
      </c>
      <c r="I745" s="5" t="s">
        <v>1891</v>
      </c>
      <c r="J745" s="5" t="s">
        <v>1678</v>
      </c>
      <c r="K745" s="5" t="s">
        <v>1872</v>
      </c>
      <c r="L745" s="5" t="s">
        <v>1680</v>
      </c>
      <c r="M745" s="5" t="s">
        <v>1681</v>
      </c>
      <c r="N745" s="5" t="s">
        <v>1682</v>
      </c>
      <c r="O745" s="5" t="s">
        <v>1680</v>
      </c>
      <c r="P745" s="6">
        <v>16227</v>
      </c>
      <c r="Q745" s="6">
        <v>16227</v>
      </c>
      <c r="R745" s="6">
        <v>0</v>
      </c>
      <c r="S745" s="6">
        <v>0</v>
      </c>
      <c r="T745" s="6">
        <v>0</v>
      </c>
    </row>
    <row r="746" spans="1:20">
      <c r="A746" s="5" t="s">
        <v>1672</v>
      </c>
      <c r="B746" s="5" t="s">
        <v>1673</v>
      </c>
      <c r="C746" s="5" t="s">
        <v>1674</v>
      </c>
      <c r="D746" s="5" t="s">
        <v>2</v>
      </c>
      <c r="E746" s="5" t="s">
        <v>1691</v>
      </c>
      <c r="F746" s="5" t="s">
        <v>1692</v>
      </c>
      <c r="G746" s="5" t="s">
        <v>1693</v>
      </c>
      <c r="H746" s="5" t="s">
        <v>1694</v>
      </c>
      <c r="I746" s="5" t="s">
        <v>1891</v>
      </c>
      <c r="J746" s="5" t="s">
        <v>1678</v>
      </c>
      <c r="K746" s="5" t="s">
        <v>1872</v>
      </c>
      <c r="L746" s="5" t="s">
        <v>1680</v>
      </c>
      <c r="M746" s="5" t="s">
        <v>1681</v>
      </c>
      <c r="N746" s="5" t="s">
        <v>1682</v>
      </c>
      <c r="O746" s="5" t="s">
        <v>1680</v>
      </c>
      <c r="P746" s="6">
        <v>16227</v>
      </c>
      <c r="Q746" s="6">
        <v>16227</v>
      </c>
      <c r="R746" s="6">
        <v>0</v>
      </c>
      <c r="S746" s="6">
        <v>0</v>
      </c>
      <c r="T746" s="6">
        <v>0</v>
      </c>
    </row>
    <row r="747" spans="1:20">
      <c r="A747" s="5" t="s">
        <v>1672</v>
      </c>
      <c r="B747" s="5" t="s">
        <v>1673</v>
      </c>
      <c r="C747" s="5" t="s">
        <v>1674</v>
      </c>
      <c r="D747" s="5" t="s">
        <v>2</v>
      </c>
      <c r="E747" s="5" t="s">
        <v>1695</v>
      </c>
      <c r="F747" s="5" t="s">
        <v>1696</v>
      </c>
      <c r="G747" s="5" t="s">
        <v>1697</v>
      </c>
      <c r="H747" s="5" t="s">
        <v>1698</v>
      </c>
      <c r="I747" s="5" t="s">
        <v>1891</v>
      </c>
      <c r="J747" s="5" t="s">
        <v>1678</v>
      </c>
      <c r="K747" s="5" t="s">
        <v>1872</v>
      </c>
      <c r="L747" s="5" t="s">
        <v>1680</v>
      </c>
      <c r="M747" s="5" t="s">
        <v>1681</v>
      </c>
      <c r="N747" s="5" t="s">
        <v>1682</v>
      </c>
      <c r="O747" s="5" t="s">
        <v>1680</v>
      </c>
      <c r="P747" s="6">
        <v>16227</v>
      </c>
      <c r="Q747" s="6">
        <v>16227</v>
      </c>
      <c r="R747" s="6">
        <v>0</v>
      </c>
      <c r="S747" s="6">
        <v>0</v>
      </c>
      <c r="T747" s="6">
        <v>0</v>
      </c>
    </row>
    <row r="748" spans="1:20">
      <c r="A748" s="5" t="s">
        <v>1672</v>
      </c>
      <c r="B748" s="5" t="s">
        <v>1673</v>
      </c>
      <c r="C748" s="5" t="s">
        <v>1674</v>
      </c>
      <c r="D748" s="5" t="s">
        <v>2</v>
      </c>
      <c r="E748" s="5" t="s">
        <v>1699</v>
      </c>
      <c r="F748" s="5" t="s">
        <v>1700</v>
      </c>
      <c r="G748" s="5" t="s">
        <v>1699</v>
      </c>
      <c r="H748" s="5" t="s">
        <v>1700</v>
      </c>
      <c r="I748" s="5" t="s">
        <v>1891</v>
      </c>
      <c r="J748" s="5" t="s">
        <v>1678</v>
      </c>
      <c r="K748" s="5" t="s">
        <v>1872</v>
      </c>
      <c r="L748" s="5" t="s">
        <v>1680</v>
      </c>
      <c r="M748" s="5" t="s">
        <v>1681</v>
      </c>
      <c r="N748" s="5" t="s">
        <v>1682</v>
      </c>
      <c r="O748" s="5" t="s">
        <v>1680</v>
      </c>
      <c r="P748" s="6">
        <v>16227</v>
      </c>
      <c r="Q748" s="6">
        <v>16227</v>
      </c>
      <c r="R748" s="6">
        <v>0</v>
      </c>
      <c r="S748" s="6">
        <v>0</v>
      </c>
      <c r="T748" s="6">
        <v>0</v>
      </c>
    </row>
    <row r="749" spans="1:20">
      <c r="A749" s="5" t="s">
        <v>1672</v>
      </c>
      <c r="B749" s="5" t="s">
        <v>1673</v>
      </c>
      <c r="C749" s="5" t="s">
        <v>1674</v>
      </c>
      <c r="D749" s="5" t="s">
        <v>2</v>
      </c>
      <c r="E749" s="5" t="s">
        <v>1701</v>
      </c>
      <c r="F749" s="5" t="s">
        <v>1702</v>
      </c>
      <c r="G749" s="5" t="s">
        <v>1701</v>
      </c>
      <c r="H749" s="5" t="s">
        <v>1702</v>
      </c>
      <c r="I749" s="5" t="s">
        <v>1891</v>
      </c>
      <c r="J749" s="5" t="s">
        <v>1678</v>
      </c>
      <c r="K749" s="5" t="s">
        <v>1872</v>
      </c>
      <c r="L749" s="5" t="s">
        <v>1680</v>
      </c>
      <c r="M749" s="5" t="s">
        <v>1681</v>
      </c>
      <c r="N749" s="5" t="s">
        <v>1682</v>
      </c>
      <c r="O749" s="5" t="s">
        <v>1680</v>
      </c>
      <c r="P749" s="6">
        <v>16227</v>
      </c>
      <c r="Q749" s="6">
        <v>16227</v>
      </c>
      <c r="R749" s="6">
        <v>0</v>
      </c>
      <c r="S749" s="6">
        <v>0</v>
      </c>
      <c r="T749" s="6">
        <v>0</v>
      </c>
    </row>
    <row r="750" spans="1:20">
      <c r="A750" s="5" t="s">
        <v>1672</v>
      </c>
      <c r="B750" s="5" t="s">
        <v>1673</v>
      </c>
      <c r="C750" s="5" t="s">
        <v>1674</v>
      </c>
      <c r="D750" s="5" t="s">
        <v>2</v>
      </c>
      <c r="E750" s="5" t="s">
        <v>1703</v>
      </c>
      <c r="F750" s="5" t="s">
        <v>1704</v>
      </c>
      <c r="G750" s="5" t="s">
        <v>1705</v>
      </c>
      <c r="H750" s="5" t="s">
        <v>1706</v>
      </c>
      <c r="I750" s="5" t="s">
        <v>1891</v>
      </c>
      <c r="J750" s="5" t="s">
        <v>1678</v>
      </c>
      <c r="K750" s="5" t="s">
        <v>1872</v>
      </c>
      <c r="L750" s="5" t="s">
        <v>1680</v>
      </c>
      <c r="M750" s="5" t="s">
        <v>1681</v>
      </c>
      <c r="N750" s="5" t="s">
        <v>1682</v>
      </c>
      <c r="O750" s="5" t="s">
        <v>1680</v>
      </c>
      <c r="P750" s="6">
        <v>16227</v>
      </c>
      <c r="Q750" s="6">
        <v>16227</v>
      </c>
      <c r="R750" s="6">
        <v>0</v>
      </c>
      <c r="S750" s="6">
        <v>0</v>
      </c>
      <c r="T750" s="6">
        <v>0</v>
      </c>
    </row>
    <row r="751" spans="1:20">
      <c r="A751" s="5" t="s">
        <v>1672</v>
      </c>
      <c r="B751" s="5" t="s">
        <v>1673</v>
      </c>
      <c r="C751" s="5" t="s">
        <v>1674</v>
      </c>
      <c r="D751" s="5" t="s">
        <v>2</v>
      </c>
      <c r="E751" s="5" t="s">
        <v>1707</v>
      </c>
      <c r="F751" s="5" t="s">
        <v>1708</v>
      </c>
      <c r="G751" s="5" t="s">
        <v>1707</v>
      </c>
      <c r="H751" s="5" t="s">
        <v>1708</v>
      </c>
      <c r="I751" s="5" t="s">
        <v>1891</v>
      </c>
      <c r="J751" s="5" t="s">
        <v>1678</v>
      </c>
      <c r="K751" s="5" t="s">
        <v>1872</v>
      </c>
      <c r="L751" s="5" t="s">
        <v>1680</v>
      </c>
      <c r="M751" s="5" t="s">
        <v>1681</v>
      </c>
      <c r="N751" s="5" t="s">
        <v>1682</v>
      </c>
      <c r="O751" s="5" t="s">
        <v>1680</v>
      </c>
      <c r="P751" s="6">
        <v>16227</v>
      </c>
      <c r="Q751" s="6">
        <v>16227</v>
      </c>
      <c r="R751" s="6">
        <v>0</v>
      </c>
      <c r="S751" s="6">
        <v>0</v>
      </c>
      <c r="T751" s="6">
        <v>0</v>
      </c>
    </row>
    <row r="752" spans="1:20">
      <c r="A752" s="5" t="s">
        <v>1672</v>
      </c>
      <c r="B752" s="5" t="s">
        <v>1673</v>
      </c>
      <c r="C752" s="5" t="s">
        <v>1674</v>
      </c>
      <c r="D752" s="5" t="s">
        <v>2</v>
      </c>
      <c r="E752" s="5" t="s">
        <v>1709</v>
      </c>
      <c r="F752" s="5" t="s">
        <v>1710</v>
      </c>
      <c r="G752" s="5" t="s">
        <v>1709</v>
      </c>
      <c r="H752" s="5" t="s">
        <v>1710</v>
      </c>
      <c r="I752" s="5" t="s">
        <v>1891</v>
      </c>
      <c r="J752" s="5" t="s">
        <v>1678</v>
      </c>
      <c r="K752" s="5" t="s">
        <v>1872</v>
      </c>
      <c r="L752" s="5" t="s">
        <v>1680</v>
      </c>
      <c r="M752" s="5" t="s">
        <v>1681</v>
      </c>
      <c r="N752" s="5" t="s">
        <v>1682</v>
      </c>
      <c r="O752" s="5" t="s">
        <v>1680</v>
      </c>
      <c r="P752" s="6">
        <v>16227</v>
      </c>
      <c r="Q752" s="6">
        <v>16227</v>
      </c>
      <c r="R752" s="6">
        <v>0</v>
      </c>
      <c r="S752" s="6">
        <v>0</v>
      </c>
      <c r="T752" s="6">
        <v>0</v>
      </c>
    </row>
    <row r="753" spans="1:20">
      <c r="A753" s="5" t="s">
        <v>1672</v>
      </c>
      <c r="B753" s="5" t="s">
        <v>1673</v>
      </c>
      <c r="C753" s="5" t="s">
        <v>1674</v>
      </c>
      <c r="D753" s="5" t="s">
        <v>2</v>
      </c>
      <c r="E753" s="5" t="s">
        <v>1711</v>
      </c>
      <c r="F753" s="5" t="s">
        <v>1712</v>
      </c>
      <c r="G753" s="5" t="s">
        <v>1711</v>
      </c>
      <c r="H753" s="5" t="s">
        <v>1712</v>
      </c>
      <c r="I753" s="5" t="s">
        <v>1891</v>
      </c>
      <c r="J753" s="5" t="s">
        <v>1678</v>
      </c>
      <c r="K753" s="5" t="s">
        <v>1872</v>
      </c>
      <c r="L753" s="5" t="s">
        <v>1680</v>
      </c>
      <c r="M753" s="5" t="s">
        <v>1681</v>
      </c>
      <c r="N753" s="5" t="s">
        <v>1682</v>
      </c>
      <c r="O753" s="5" t="s">
        <v>1680</v>
      </c>
      <c r="P753" s="6">
        <v>16227</v>
      </c>
      <c r="Q753" s="6">
        <v>16227</v>
      </c>
      <c r="R753" s="6">
        <v>0</v>
      </c>
      <c r="S753" s="6">
        <v>0</v>
      </c>
      <c r="T753" s="6">
        <v>0</v>
      </c>
    </row>
    <row r="754" spans="1:20">
      <c r="A754" s="5" t="s">
        <v>1672</v>
      </c>
      <c r="B754" s="5" t="s">
        <v>1673</v>
      </c>
      <c r="C754" s="5" t="s">
        <v>1674</v>
      </c>
      <c r="D754" s="5" t="s">
        <v>2</v>
      </c>
      <c r="E754" s="5" t="s">
        <v>1713</v>
      </c>
      <c r="F754" s="5" t="s">
        <v>1714</v>
      </c>
      <c r="G754" s="5" t="s">
        <v>1713</v>
      </c>
      <c r="H754" s="5" t="s">
        <v>1714</v>
      </c>
      <c r="I754" s="5" t="s">
        <v>1891</v>
      </c>
      <c r="J754" s="5" t="s">
        <v>1678</v>
      </c>
      <c r="K754" s="5" t="s">
        <v>1872</v>
      </c>
      <c r="L754" s="5" t="s">
        <v>1680</v>
      </c>
      <c r="M754" s="5" t="s">
        <v>1681</v>
      </c>
      <c r="N754" s="5" t="s">
        <v>1682</v>
      </c>
      <c r="O754" s="5" t="s">
        <v>1680</v>
      </c>
      <c r="P754" s="6">
        <v>16227</v>
      </c>
      <c r="Q754" s="6">
        <v>16227</v>
      </c>
      <c r="R754" s="6">
        <v>0</v>
      </c>
      <c r="S754" s="6">
        <v>0</v>
      </c>
      <c r="T754" s="6">
        <v>0</v>
      </c>
    </row>
    <row r="755" spans="1:20">
      <c r="A755" s="5" t="s">
        <v>1672</v>
      </c>
      <c r="B755" s="5" t="s">
        <v>1673</v>
      </c>
      <c r="C755" s="5" t="s">
        <v>1715</v>
      </c>
      <c r="D755" s="5" t="s">
        <v>325</v>
      </c>
      <c r="E755" s="5" t="s">
        <v>1716</v>
      </c>
      <c r="F755" s="5" t="s">
        <v>1717</v>
      </c>
      <c r="G755" s="5" t="s">
        <v>1716</v>
      </c>
      <c r="H755" s="5" t="s">
        <v>1717</v>
      </c>
      <c r="I755" s="5" t="s">
        <v>1891</v>
      </c>
      <c r="J755" s="5" t="s">
        <v>1678</v>
      </c>
      <c r="K755" s="5" t="s">
        <v>1872</v>
      </c>
      <c r="L755" s="5" t="s">
        <v>1680</v>
      </c>
      <c r="M755" s="5" t="s">
        <v>1681</v>
      </c>
      <c r="N755" s="5" t="s">
        <v>1682</v>
      </c>
      <c r="O755" s="5" t="s">
        <v>1680</v>
      </c>
      <c r="P755" s="6">
        <v>7310</v>
      </c>
      <c r="Q755" s="6">
        <v>7310</v>
      </c>
      <c r="R755" s="6">
        <v>0</v>
      </c>
      <c r="S755" s="6">
        <v>0</v>
      </c>
      <c r="T755" s="6">
        <v>0</v>
      </c>
    </row>
    <row r="756" spans="1:20">
      <c r="A756" s="5" t="s">
        <v>1672</v>
      </c>
      <c r="B756" s="5" t="s">
        <v>1673</v>
      </c>
      <c r="C756" s="5" t="s">
        <v>1715</v>
      </c>
      <c r="D756" s="5" t="s">
        <v>325</v>
      </c>
      <c r="E756" s="5" t="s">
        <v>1718</v>
      </c>
      <c r="F756" s="5" t="s">
        <v>1719</v>
      </c>
      <c r="G756" s="5" t="s">
        <v>1718</v>
      </c>
      <c r="H756" s="5" t="s">
        <v>1719</v>
      </c>
      <c r="I756" s="5" t="s">
        <v>1891</v>
      </c>
      <c r="J756" s="5" t="s">
        <v>1678</v>
      </c>
      <c r="K756" s="5" t="s">
        <v>1872</v>
      </c>
      <c r="L756" s="5" t="s">
        <v>1680</v>
      </c>
      <c r="M756" s="5" t="s">
        <v>1681</v>
      </c>
      <c r="N756" s="5" t="s">
        <v>1682</v>
      </c>
      <c r="O756" s="5" t="s">
        <v>1680</v>
      </c>
      <c r="P756" s="6">
        <v>7310</v>
      </c>
      <c r="Q756" s="6">
        <v>7310</v>
      </c>
      <c r="R756" s="6">
        <v>0</v>
      </c>
      <c r="S756" s="6">
        <v>0</v>
      </c>
      <c r="T756" s="6">
        <v>0</v>
      </c>
    </row>
    <row r="757" spans="1:20">
      <c r="A757" s="5" t="s">
        <v>1672</v>
      </c>
      <c r="B757" s="5" t="s">
        <v>1673</v>
      </c>
      <c r="C757" s="5" t="s">
        <v>1715</v>
      </c>
      <c r="D757" s="5" t="s">
        <v>325</v>
      </c>
      <c r="E757" s="5" t="s">
        <v>1720</v>
      </c>
      <c r="F757" s="5" t="s">
        <v>1721</v>
      </c>
      <c r="G757" s="5" t="s">
        <v>1720</v>
      </c>
      <c r="H757" s="5" t="s">
        <v>1721</v>
      </c>
      <c r="I757" s="5" t="s">
        <v>1891</v>
      </c>
      <c r="J757" s="5" t="s">
        <v>1678</v>
      </c>
      <c r="K757" s="5" t="s">
        <v>1872</v>
      </c>
      <c r="L757" s="5" t="s">
        <v>1680</v>
      </c>
      <c r="M757" s="5" t="s">
        <v>1681</v>
      </c>
      <c r="N757" s="5" t="s">
        <v>1682</v>
      </c>
      <c r="O757" s="5" t="s">
        <v>1680</v>
      </c>
      <c r="P757" s="6">
        <v>7310</v>
      </c>
      <c r="Q757" s="6">
        <v>7310</v>
      </c>
      <c r="R757" s="6">
        <v>0</v>
      </c>
      <c r="S757" s="6">
        <v>0</v>
      </c>
      <c r="T757" s="6">
        <v>0</v>
      </c>
    </row>
    <row r="758" spans="1:20">
      <c r="A758" s="5" t="s">
        <v>1672</v>
      </c>
      <c r="B758" s="5" t="s">
        <v>1673</v>
      </c>
      <c r="C758" s="5" t="s">
        <v>1715</v>
      </c>
      <c r="D758" s="5" t="s">
        <v>325</v>
      </c>
      <c r="E758" s="5" t="s">
        <v>1722</v>
      </c>
      <c r="F758" s="5" t="s">
        <v>1723</v>
      </c>
      <c r="G758" s="5" t="s">
        <v>1724</v>
      </c>
      <c r="H758" s="5" t="s">
        <v>1725</v>
      </c>
      <c r="I758" s="5" t="s">
        <v>1891</v>
      </c>
      <c r="J758" s="5" t="s">
        <v>1678</v>
      </c>
      <c r="K758" s="5" t="s">
        <v>1872</v>
      </c>
      <c r="L758" s="5" t="s">
        <v>1680</v>
      </c>
      <c r="M758" s="5" t="s">
        <v>1681</v>
      </c>
      <c r="N758" s="5" t="s">
        <v>1682</v>
      </c>
      <c r="O758" s="5" t="s">
        <v>1680</v>
      </c>
      <c r="P758" s="6">
        <v>7310</v>
      </c>
      <c r="Q758" s="6">
        <v>7310</v>
      </c>
      <c r="R758" s="6">
        <v>0</v>
      </c>
      <c r="S758" s="6">
        <v>0</v>
      </c>
      <c r="T758" s="6">
        <v>0</v>
      </c>
    </row>
    <row r="759" spans="1:20">
      <c r="A759" s="5" t="s">
        <v>1672</v>
      </c>
      <c r="B759" s="5" t="s">
        <v>1673</v>
      </c>
      <c r="C759" s="5" t="s">
        <v>1715</v>
      </c>
      <c r="D759" s="5" t="s">
        <v>325</v>
      </c>
      <c r="E759" s="5" t="s">
        <v>1726</v>
      </c>
      <c r="F759" s="5" t="s">
        <v>1727</v>
      </c>
      <c r="G759" s="5" t="s">
        <v>1726</v>
      </c>
      <c r="H759" s="5" t="s">
        <v>1727</v>
      </c>
      <c r="I759" s="5" t="s">
        <v>1891</v>
      </c>
      <c r="J759" s="5" t="s">
        <v>1678</v>
      </c>
      <c r="K759" s="5" t="s">
        <v>1872</v>
      </c>
      <c r="L759" s="5" t="s">
        <v>1680</v>
      </c>
      <c r="M759" s="5" t="s">
        <v>1681</v>
      </c>
      <c r="N759" s="5" t="s">
        <v>1682</v>
      </c>
      <c r="O759" s="5" t="s">
        <v>1680</v>
      </c>
      <c r="P759" s="6">
        <v>7310</v>
      </c>
      <c r="Q759" s="6">
        <v>7310</v>
      </c>
      <c r="R759" s="6">
        <v>0</v>
      </c>
      <c r="S759" s="6">
        <v>0</v>
      </c>
      <c r="T759" s="6">
        <v>0</v>
      </c>
    </row>
    <row r="760" spans="1:20">
      <c r="A760" s="5" t="s">
        <v>1672</v>
      </c>
      <c r="B760" s="5" t="s">
        <v>1673</v>
      </c>
      <c r="C760" s="5" t="s">
        <v>1715</v>
      </c>
      <c r="D760" s="5" t="s">
        <v>325</v>
      </c>
      <c r="E760" s="5" t="s">
        <v>1728</v>
      </c>
      <c r="F760" s="5" t="s">
        <v>1729</v>
      </c>
      <c r="G760" s="5" t="s">
        <v>1728</v>
      </c>
      <c r="H760" s="5" t="s">
        <v>1729</v>
      </c>
      <c r="I760" s="5" t="s">
        <v>1891</v>
      </c>
      <c r="J760" s="5" t="s">
        <v>1678</v>
      </c>
      <c r="K760" s="5" t="s">
        <v>1872</v>
      </c>
      <c r="L760" s="5" t="s">
        <v>1680</v>
      </c>
      <c r="M760" s="5" t="s">
        <v>1681</v>
      </c>
      <c r="N760" s="5" t="s">
        <v>1682</v>
      </c>
      <c r="O760" s="5" t="s">
        <v>1680</v>
      </c>
      <c r="P760" s="6">
        <v>7310</v>
      </c>
      <c r="Q760" s="6">
        <v>7310</v>
      </c>
      <c r="R760" s="6">
        <v>0</v>
      </c>
      <c r="S760" s="6">
        <v>0</v>
      </c>
      <c r="T760" s="6">
        <v>0</v>
      </c>
    </row>
    <row r="761" spans="1:20">
      <c r="A761" s="5" t="s">
        <v>1672</v>
      </c>
      <c r="B761" s="5" t="s">
        <v>1673</v>
      </c>
      <c r="C761" s="5" t="s">
        <v>1715</v>
      </c>
      <c r="D761" s="5" t="s">
        <v>325</v>
      </c>
      <c r="E761" s="5" t="s">
        <v>1730</v>
      </c>
      <c r="F761" s="5" t="s">
        <v>1731</v>
      </c>
      <c r="G761" s="5" t="s">
        <v>1730</v>
      </c>
      <c r="H761" s="5" t="s">
        <v>1731</v>
      </c>
      <c r="I761" s="5" t="s">
        <v>1891</v>
      </c>
      <c r="J761" s="5" t="s">
        <v>1678</v>
      </c>
      <c r="K761" s="5" t="s">
        <v>1872</v>
      </c>
      <c r="L761" s="5" t="s">
        <v>1680</v>
      </c>
      <c r="M761" s="5" t="s">
        <v>1681</v>
      </c>
      <c r="N761" s="5" t="s">
        <v>1682</v>
      </c>
      <c r="O761" s="5" t="s">
        <v>1680</v>
      </c>
      <c r="P761" s="6">
        <v>7310</v>
      </c>
      <c r="Q761" s="6">
        <v>7310</v>
      </c>
      <c r="R761" s="6">
        <v>0</v>
      </c>
      <c r="S761" s="6">
        <v>0</v>
      </c>
      <c r="T761" s="6">
        <v>0</v>
      </c>
    </row>
    <row r="762" spans="1:20">
      <c r="A762" s="5" t="s">
        <v>1672</v>
      </c>
      <c r="B762" s="5" t="s">
        <v>1673</v>
      </c>
      <c r="C762" s="5" t="s">
        <v>1715</v>
      </c>
      <c r="D762" s="5" t="s">
        <v>325</v>
      </c>
      <c r="E762" s="5" t="s">
        <v>1732</v>
      </c>
      <c r="F762" s="5" t="s">
        <v>1733</v>
      </c>
      <c r="G762" s="5" t="s">
        <v>1732</v>
      </c>
      <c r="H762" s="5" t="s">
        <v>1733</v>
      </c>
      <c r="I762" s="5" t="s">
        <v>1891</v>
      </c>
      <c r="J762" s="5" t="s">
        <v>1678</v>
      </c>
      <c r="K762" s="5" t="s">
        <v>1872</v>
      </c>
      <c r="L762" s="5" t="s">
        <v>1680</v>
      </c>
      <c r="M762" s="5" t="s">
        <v>1681</v>
      </c>
      <c r="N762" s="5" t="s">
        <v>1682</v>
      </c>
      <c r="O762" s="5" t="s">
        <v>1680</v>
      </c>
      <c r="P762" s="6">
        <v>7310</v>
      </c>
      <c r="Q762" s="6">
        <v>7310</v>
      </c>
      <c r="R762" s="6">
        <v>0</v>
      </c>
      <c r="S762" s="6">
        <v>0</v>
      </c>
      <c r="T762" s="6">
        <v>0</v>
      </c>
    </row>
    <row r="763" spans="1:20">
      <c r="A763" s="5" t="s">
        <v>1672</v>
      </c>
      <c r="B763" s="5" t="s">
        <v>1673</v>
      </c>
      <c r="C763" s="5" t="s">
        <v>1715</v>
      </c>
      <c r="D763" s="5" t="s">
        <v>325</v>
      </c>
      <c r="E763" s="5" t="s">
        <v>1734</v>
      </c>
      <c r="F763" s="5" t="s">
        <v>1735</v>
      </c>
      <c r="G763" s="5" t="s">
        <v>1734</v>
      </c>
      <c r="H763" s="5" t="s">
        <v>1735</v>
      </c>
      <c r="I763" s="5" t="s">
        <v>1891</v>
      </c>
      <c r="J763" s="5" t="s">
        <v>1678</v>
      </c>
      <c r="K763" s="5" t="s">
        <v>1872</v>
      </c>
      <c r="L763" s="5" t="s">
        <v>1680</v>
      </c>
      <c r="M763" s="5" t="s">
        <v>1681</v>
      </c>
      <c r="N763" s="5" t="s">
        <v>1682</v>
      </c>
      <c r="O763" s="5" t="s">
        <v>1680</v>
      </c>
      <c r="P763" s="6">
        <v>7310</v>
      </c>
      <c r="Q763" s="6">
        <v>7310</v>
      </c>
      <c r="R763" s="6">
        <v>0</v>
      </c>
      <c r="S763" s="6">
        <v>0</v>
      </c>
      <c r="T763" s="6">
        <v>0</v>
      </c>
    </row>
    <row r="764" spans="1:20">
      <c r="A764" s="5" t="s">
        <v>1672</v>
      </c>
      <c r="B764" s="5" t="s">
        <v>1673</v>
      </c>
      <c r="C764" s="5" t="s">
        <v>1715</v>
      </c>
      <c r="D764" s="5" t="s">
        <v>325</v>
      </c>
      <c r="E764" s="5" t="s">
        <v>1736</v>
      </c>
      <c r="F764" s="5" t="s">
        <v>1737</v>
      </c>
      <c r="G764" s="5" t="s">
        <v>1738</v>
      </c>
      <c r="H764" s="5" t="s">
        <v>1739</v>
      </c>
      <c r="I764" s="5" t="s">
        <v>1891</v>
      </c>
      <c r="J764" s="5" t="s">
        <v>1678</v>
      </c>
      <c r="K764" s="5" t="s">
        <v>1872</v>
      </c>
      <c r="L764" s="5" t="s">
        <v>1680</v>
      </c>
      <c r="M764" s="5" t="s">
        <v>1681</v>
      </c>
      <c r="N764" s="5" t="s">
        <v>1682</v>
      </c>
      <c r="O764" s="5" t="s">
        <v>1680</v>
      </c>
      <c r="P764" s="6">
        <v>7310</v>
      </c>
      <c r="Q764" s="6">
        <v>7310</v>
      </c>
      <c r="R764" s="6">
        <v>0</v>
      </c>
      <c r="S764" s="6">
        <v>0</v>
      </c>
      <c r="T764" s="6">
        <v>0</v>
      </c>
    </row>
    <row r="765" spans="1:20">
      <c r="A765" s="5" t="s">
        <v>1672</v>
      </c>
      <c r="B765" s="5" t="s">
        <v>1673</v>
      </c>
      <c r="C765" s="5" t="s">
        <v>1715</v>
      </c>
      <c r="D765" s="5" t="s">
        <v>325</v>
      </c>
      <c r="E765" s="5" t="s">
        <v>1740</v>
      </c>
      <c r="F765" s="5" t="s">
        <v>1741</v>
      </c>
      <c r="G765" s="5" t="s">
        <v>1740</v>
      </c>
      <c r="H765" s="5" t="s">
        <v>1741</v>
      </c>
      <c r="I765" s="5" t="s">
        <v>1891</v>
      </c>
      <c r="J765" s="5" t="s">
        <v>1678</v>
      </c>
      <c r="K765" s="5" t="s">
        <v>1872</v>
      </c>
      <c r="L765" s="5" t="s">
        <v>1680</v>
      </c>
      <c r="M765" s="5" t="s">
        <v>1681</v>
      </c>
      <c r="N765" s="5" t="s">
        <v>1682</v>
      </c>
      <c r="O765" s="5" t="s">
        <v>1680</v>
      </c>
      <c r="P765" s="6">
        <v>7310</v>
      </c>
      <c r="Q765" s="6">
        <v>7310</v>
      </c>
      <c r="R765" s="6">
        <v>0</v>
      </c>
      <c r="S765" s="6">
        <v>0</v>
      </c>
      <c r="T765" s="6">
        <v>0</v>
      </c>
    </row>
    <row r="766" spans="1:20">
      <c r="A766" s="5" t="s">
        <v>1672</v>
      </c>
      <c r="B766" s="5" t="s">
        <v>1673</v>
      </c>
      <c r="C766" s="5" t="s">
        <v>1715</v>
      </c>
      <c r="D766" s="5" t="s">
        <v>325</v>
      </c>
      <c r="E766" s="5" t="s">
        <v>1742</v>
      </c>
      <c r="F766" s="5" t="s">
        <v>1743</v>
      </c>
      <c r="G766" s="5" t="s">
        <v>1744</v>
      </c>
      <c r="H766" s="5" t="s">
        <v>1745</v>
      </c>
      <c r="I766" s="5" t="s">
        <v>1891</v>
      </c>
      <c r="J766" s="5" t="s">
        <v>1678</v>
      </c>
      <c r="K766" s="5" t="s">
        <v>1872</v>
      </c>
      <c r="L766" s="5" t="s">
        <v>1680</v>
      </c>
      <c r="M766" s="5" t="s">
        <v>1681</v>
      </c>
      <c r="N766" s="5" t="s">
        <v>1682</v>
      </c>
      <c r="O766" s="5" t="s">
        <v>1680</v>
      </c>
      <c r="P766" s="6">
        <v>7310</v>
      </c>
      <c r="Q766" s="6">
        <v>7310</v>
      </c>
      <c r="R766" s="6">
        <v>0</v>
      </c>
      <c r="S766" s="6">
        <v>0</v>
      </c>
      <c r="T766" s="6">
        <v>0</v>
      </c>
    </row>
    <row r="767" spans="1:20">
      <c r="A767" s="5" t="s">
        <v>1672</v>
      </c>
      <c r="B767" s="5" t="s">
        <v>1673</v>
      </c>
      <c r="C767" s="5" t="s">
        <v>1715</v>
      </c>
      <c r="D767" s="5" t="s">
        <v>325</v>
      </c>
      <c r="E767" s="5" t="s">
        <v>1746</v>
      </c>
      <c r="F767" s="5" t="s">
        <v>1747</v>
      </c>
      <c r="G767" s="5" t="s">
        <v>1748</v>
      </c>
      <c r="H767" s="5" t="s">
        <v>1749</v>
      </c>
      <c r="I767" s="5" t="s">
        <v>1891</v>
      </c>
      <c r="J767" s="5" t="s">
        <v>1678</v>
      </c>
      <c r="K767" s="5" t="s">
        <v>1872</v>
      </c>
      <c r="L767" s="5" t="s">
        <v>1680</v>
      </c>
      <c r="M767" s="5" t="s">
        <v>1681</v>
      </c>
      <c r="N767" s="5" t="s">
        <v>1682</v>
      </c>
      <c r="O767" s="5" t="s">
        <v>1680</v>
      </c>
      <c r="P767" s="6">
        <v>7310</v>
      </c>
      <c r="Q767" s="6">
        <v>7310</v>
      </c>
      <c r="R767" s="6">
        <v>0</v>
      </c>
      <c r="S767" s="6">
        <v>0</v>
      </c>
      <c r="T767" s="6">
        <v>0</v>
      </c>
    </row>
    <row r="768" spans="1:20">
      <c r="A768" s="5" t="s">
        <v>1672</v>
      </c>
      <c r="B768" s="5" t="s">
        <v>1673</v>
      </c>
      <c r="C768" s="5" t="s">
        <v>1715</v>
      </c>
      <c r="D768" s="5" t="s">
        <v>325</v>
      </c>
      <c r="E768" s="5" t="s">
        <v>1750</v>
      </c>
      <c r="F768" s="5" t="s">
        <v>1751</v>
      </c>
      <c r="G768" s="5" t="s">
        <v>1752</v>
      </c>
      <c r="H768" s="5" t="s">
        <v>1753</v>
      </c>
      <c r="I768" s="5" t="s">
        <v>1891</v>
      </c>
      <c r="J768" s="5" t="s">
        <v>1678</v>
      </c>
      <c r="K768" s="5" t="s">
        <v>1872</v>
      </c>
      <c r="L768" s="5" t="s">
        <v>1680</v>
      </c>
      <c r="M768" s="5" t="s">
        <v>1681</v>
      </c>
      <c r="N768" s="5" t="s">
        <v>1682</v>
      </c>
      <c r="O768" s="5" t="s">
        <v>1680</v>
      </c>
      <c r="P768" s="6">
        <v>7310</v>
      </c>
      <c r="Q768" s="6">
        <v>7310</v>
      </c>
      <c r="R768" s="6">
        <v>0</v>
      </c>
      <c r="S768" s="6">
        <v>0</v>
      </c>
      <c r="T768" s="6">
        <v>0</v>
      </c>
    </row>
    <row r="769" spans="1:20">
      <c r="A769" s="5" t="s">
        <v>1672</v>
      </c>
      <c r="B769" s="5" t="s">
        <v>1673</v>
      </c>
      <c r="C769" s="5" t="s">
        <v>1715</v>
      </c>
      <c r="D769" s="5" t="s">
        <v>325</v>
      </c>
      <c r="E769" s="5" t="s">
        <v>1754</v>
      </c>
      <c r="F769" s="5" t="s">
        <v>1755</v>
      </c>
      <c r="G769" s="5" t="s">
        <v>1756</v>
      </c>
      <c r="H769" s="5" t="s">
        <v>1757</v>
      </c>
      <c r="I769" s="5" t="s">
        <v>1891</v>
      </c>
      <c r="J769" s="5" t="s">
        <v>1678</v>
      </c>
      <c r="K769" s="5" t="s">
        <v>1872</v>
      </c>
      <c r="L769" s="5" t="s">
        <v>1680</v>
      </c>
      <c r="M769" s="5" t="s">
        <v>1681</v>
      </c>
      <c r="N769" s="5" t="s">
        <v>1682</v>
      </c>
      <c r="O769" s="5" t="s">
        <v>1680</v>
      </c>
      <c r="P769" s="6">
        <v>7310</v>
      </c>
      <c r="Q769" s="6">
        <v>7310</v>
      </c>
      <c r="R769" s="6">
        <v>0</v>
      </c>
      <c r="S769" s="6">
        <v>0</v>
      </c>
      <c r="T769" s="6">
        <v>0</v>
      </c>
    </row>
    <row r="770" spans="1:20">
      <c r="A770" s="5" t="s">
        <v>1672</v>
      </c>
      <c r="B770" s="5" t="s">
        <v>1673</v>
      </c>
      <c r="C770" s="5" t="s">
        <v>1715</v>
      </c>
      <c r="D770" s="5" t="s">
        <v>325</v>
      </c>
      <c r="E770" s="5" t="s">
        <v>1758</v>
      </c>
      <c r="F770" s="5" t="s">
        <v>1759</v>
      </c>
      <c r="G770" s="5" t="s">
        <v>1758</v>
      </c>
      <c r="H770" s="5" t="s">
        <v>1759</v>
      </c>
      <c r="I770" s="5" t="s">
        <v>1891</v>
      </c>
      <c r="J770" s="5" t="s">
        <v>1678</v>
      </c>
      <c r="K770" s="5" t="s">
        <v>1872</v>
      </c>
      <c r="L770" s="5" t="s">
        <v>1680</v>
      </c>
      <c r="M770" s="5" t="s">
        <v>1681</v>
      </c>
      <c r="N770" s="5" t="s">
        <v>1682</v>
      </c>
      <c r="O770" s="5" t="s">
        <v>1680</v>
      </c>
      <c r="P770" s="6">
        <v>7310</v>
      </c>
      <c r="Q770" s="6">
        <v>7310</v>
      </c>
      <c r="R770" s="6">
        <v>0</v>
      </c>
      <c r="S770" s="6">
        <v>0</v>
      </c>
      <c r="T770" s="6">
        <v>0</v>
      </c>
    </row>
    <row r="771" spans="1:20">
      <c r="A771" s="5" t="s">
        <v>1672</v>
      </c>
      <c r="B771" s="5" t="s">
        <v>1673</v>
      </c>
      <c r="C771" s="5" t="s">
        <v>1715</v>
      </c>
      <c r="D771" s="5" t="s">
        <v>325</v>
      </c>
      <c r="E771" s="5" t="s">
        <v>1760</v>
      </c>
      <c r="F771" s="5" t="s">
        <v>1761</v>
      </c>
      <c r="G771" s="5" t="s">
        <v>1760</v>
      </c>
      <c r="H771" s="5" t="s">
        <v>1761</v>
      </c>
      <c r="I771" s="5" t="s">
        <v>1891</v>
      </c>
      <c r="J771" s="5" t="s">
        <v>1678</v>
      </c>
      <c r="K771" s="5" t="s">
        <v>1872</v>
      </c>
      <c r="L771" s="5" t="s">
        <v>1680</v>
      </c>
      <c r="M771" s="5" t="s">
        <v>1681</v>
      </c>
      <c r="N771" s="5" t="s">
        <v>1682</v>
      </c>
      <c r="O771" s="5" t="s">
        <v>1680</v>
      </c>
      <c r="P771" s="6">
        <v>7310</v>
      </c>
      <c r="Q771" s="6">
        <v>7310</v>
      </c>
      <c r="R771" s="6">
        <v>0</v>
      </c>
      <c r="S771" s="6">
        <v>0</v>
      </c>
      <c r="T771" s="6">
        <v>0</v>
      </c>
    </row>
    <row r="772" spans="1:20">
      <c r="A772" s="5" t="s">
        <v>1672</v>
      </c>
      <c r="B772" s="5" t="s">
        <v>1673</v>
      </c>
      <c r="C772" s="5" t="s">
        <v>1715</v>
      </c>
      <c r="D772" s="5" t="s">
        <v>325</v>
      </c>
      <c r="E772" s="5" t="s">
        <v>1762</v>
      </c>
      <c r="F772" s="5" t="s">
        <v>1763</v>
      </c>
      <c r="G772" s="5" t="s">
        <v>1764</v>
      </c>
      <c r="H772" s="5" t="s">
        <v>1765</v>
      </c>
      <c r="I772" s="5" t="s">
        <v>1891</v>
      </c>
      <c r="J772" s="5" t="s">
        <v>1678</v>
      </c>
      <c r="K772" s="5" t="s">
        <v>1872</v>
      </c>
      <c r="L772" s="5" t="s">
        <v>1680</v>
      </c>
      <c r="M772" s="5" t="s">
        <v>1681</v>
      </c>
      <c r="N772" s="5" t="s">
        <v>1682</v>
      </c>
      <c r="O772" s="5" t="s">
        <v>1680</v>
      </c>
      <c r="P772" s="6">
        <v>7310</v>
      </c>
      <c r="Q772" s="6">
        <v>7310</v>
      </c>
      <c r="R772" s="6">
        <v>0</v>
      </c>
      <c r="S772" s="6">
        <v>0</v>
      </c>
      <c r="T772" s="6">
        <v>0</v>
      </c>
    </row>
    <row r="773" spans="1:20">
      <c r="A773" s="5" t="s">
        <v>1672</v>
      </c>
      <c r="B773" s="5" t="s">
        <v>1673</v>
      </c>
      <c r="C773" s="5" t="s">
        <v>1715</v>
      </c>
      <c r="D773" s="5" t="s">
        <v>325</v>
      </c>
      <c r="E773" s="5" t="s">
        <v>1766</v>
      </c>
      <c r="F773" s="5" t="s">
        <v>1767</v>
      </c>
      <c r="G773" s="5" t="s">
        <v>1766</v>
      </c>
      <c r="H773" s="5" t="s">
        <v>1767</v>
      </c>
      <c r="I773" s="5" t="s">
        <v>1891</v>
      </c>
      <c r="J773" s="5" t="s">
        <v>1678</v>
      </c>
      <c r="K773" s="5" t="s">
        <v>1872</v>
      </c>
      <c r="L773" s="5" t="s">
        <v>1680</v>
      </c>
      <c r="M773" s="5" t="s">
        <v>1681</v>
      </c>
      <c r="N773" s="5" t="s">
        <v>1682</v>
      </c>
      <c r="O773" s="5" t="s">
        <v>1680</v>
      </c>
      <c r="P773" s="6">
        <v>7310</v>
      </c>
      <c r="Q773" s="6">
        <v>7310</v>
      </c>
      <c r="R773" s="6">
        <v>0</v>
      </c>
      <c r="S773" s="6">
        <v>0</v>
      </c>
      <c r="T773" s="6">
        <v>0</v>
      </c>
    </row>
    <row r="774" spans="1:20">
      <c r="A774" s="5" t="s">
        <v>1672</v>
      </c>
      <c r="B774" s="5" t="s">
        <v>1673</v>
      </c>
      <c r="C774" s="5" t="s">
        <v>1715</v>
      </c>
      <c r="D774" s="5" t="s">
        <v>325</v>
      </c>
      <c r="E774" s="5" t="s">
        <v>1768</v>
      </c>
      <c r="F774" s="5" t="s">
        <v>1769</v>
      </c>
      <c r="G774" s="5" t="s">
        <v>1770</v>
      </c>
      <c r="H774" s="5" t="s">
        <v>1771</v>
      </c>
      <c r="I774" s="5" t="s">
        <v>1891</v>
      </c>
      <c r="J774" s="5" t="s">
        <v>1678</v>
      </c>
      <c r="K774" s="5" t="s">
        <v>1872</v>
      </c>
      <c r="L774" s="5" t="s">
        <v>1680</v>
      </c>
      <c r="M774" s="5" t="s">
        <v>1681</v>
      </c>
      <c r="N774" s="5" t="s">
        <v>1682</v>
      </c>
      <c r="O774" s="5" t="s">
        <v>1680</v>
      </c>
      <c r="P774" s="6">
        <v>7310</v>
      </c>
      <c r="Q774" s="6">
        <v>7310</v>
      </c>
      <c r="R774" s="6">
        <v>0</v>
      </c>
      <c r="S774" s="6">
        <v>0</v>
      </c>
      <c r="T774" s="6">
        <v>0</v>
      </c>
    </row>
    <row r="775" spans="1:20">
      <c r="A775" s="5" t="s">
        <v>1672</v>
      </c>
      <c r="B775" s="5" t="s">
        <v>1673</v>
      </c>
      <c r="C775" s="5" t="s">
        <v>1715</v>
      </c>
      <c r="D775" s="5" t="s">
        <v>325</v>
      </c>
      <c r="E775" s="5" t="s">
        <v>1772</v>
      </c>
      <c r="F775" s="5" t="s">
        <v>1773</v>
      </c>
      <c r="G775" s="5" t="s">
        <v>1774</v>
      </c>
      <c r="H775" s="5" t="s">
        <v>1775</v>
      </c>
      <c r="I775" s="5" t="s">
        <v>1891</v>
      </c>
      <c r="J775" s="5" t="s">
        <v>1678</v>
      </c>
      <c r="K775" s="5" t="s">
        <v>1872</v>
      </c>
      <c r="L775" s="5" t="s">
        <v>1680</v>
      </c>
      <c r="M775" s="5" t="s">
        <v>1681</v>
      </c>
      <c r="N775" s="5" t="s">
        <v>1682</v>
      </c>
      <c r="O775" s="5" t="s">
        <v>1680</v>
      </c>
      <c r="P775" s="6">
        <v>7310</v>
      </c>
      <c r="Q775" s="6">
        <v>7310</v>
      </c>
      <c r="R775" s="6">
        <v>0</v>
      </c>
      <c r="S775" s="6">
        <v>0</v>
      </c>
      <c r="T775" s="6">
        <v>0</v>
      </c>
    </row>
    <row r="776" spans="1:20">
      <c r="A776" s="5" t="s">
        <v>1672</v>
      </c>
      <c r="B776" s="5" t="s">
        <v>1673</v>
      </c>
      <c r="C776" s="5" t="s">
        <v>1715</v>
      </c>
      <c r="D776" s="5" t="s">
        <v>325</v>
      </c>
      <c r="E776" s="5" t="s">
        <v>1776</v>
      </c>
      <c r="F776" s="5" t="s">
        <v>1777</v>
      </c>
      <c r="G776" s="5" t="s">
        <v>1778</v>
      </c>
      <c r="H776" s="5" t="s">
        <v>1779</v>
      </c>
      <c r="I776" s="5" t="s">
        <v>1891</v>
      </c>
      <c r="J776" s="5" t="s">
        <v>1678</v>
      </c>
      <c r="K776" s="5" t="s">
        <v>1872</v>
      </c>
      <c r="L776" s="5" t="s">
        <v>1680</v>
      </c>
      <c r="M776" s="5" t="s">
        <v>1681</v>
      </c>
      <c r="N776" s="5" t="s">
        <v>1682</v>
      </c>
      <c r="O776" s="5" t="s">
        <v>1680</v>
      </c>
      <c r="P776" s="6">
        <v>7310</v>
      </c>
      <c r="Q776" s="6">
        <v>7310</v>
      </c>
      <c r="R776" s="6">
        <v>0</v>
      </c>
      <c r="S776" s="6">
        <v>0</v>
      </c>
      <c r="T776" s="6">
        <v>0</v>
      </c>
    </row>
    <row r="777" spans="1:20">
      <c r="A777" s="5" t="s">
        <v>1672</v>
      </c>
      <c r="B777" s="5" t="s">
        <v>1673</v>
      </c>
      <c r="C777" s="5" t="s">
        <v>1715</v>
      </c>
      <c r="D777" s="5" t="s">
        <v>325</v>
      </c>
      <c r="E777" s="5" t="s">
        <v>1780</v>
      </c>
      <c r="F777" s="5" t="s">
        <v>1781</v>
      </c>
      <c r="G777" s="5" t="s">
        <v>1780</v>
      </c>
      <c r="H777" s="5" t="s">
        <v>1781</v>
      </c>
      <c r="I777" s="5" t="s">
        <v>1891</v>
      </c>
      <c r="J777" s="5" t="s">
        <v>1678</v>
      </c>
      <c r="K777" s="5" t="s">
        <v>1872</v>
      </c>
      <c r="L777" s="5" t="s">
        <v>1680</v>
      </c>
      <c r="M777" s="5" t="s">
        <v>1681</v>
      </c>
      <c r="N777" s="5" t="s">
        <v>1682</v>
      </c>
      <c r="O777" s="5" t="s">
        <v>1680</v>
      </c>
      <c r="P777" s="6">
        <v>7310</v>
      </c>
      <c r="Q777" s="6">
        <v>7310</v>
      </c>
      <c r="R777" s="6">
        <v>0</v>
      </c>
      <c r="S777" s="6">
        <v>0</v>
      </c>
      <c r="T777" s="6">
        <v>0</v>
      </c>
    </row>
    <row r="778" spans="1:20">
      <c r="A778" s="5" t="s">
        <v>1672</v>
      </c>
      <c r="B778" s="5" t="s">
        <v>1673</v>
      </c>
      <c r="C778" s="5" t="s">
        <v>1715</v>
      </c>
      <c r="D778" s="5" t="s">
        <v>325</v>
      </c>
      <c r="E778" s="5" t="s">
        <v>1782</v>
      </c>
      <c r="F778" s="5" t="s">
        <v>1783</v>
      </c>
      <c r="G778" s="5" t="s">
        <v>1782</v>
      </c>
      <c r="H778" s="5" t="s">
        <v>1783</v>
      </c>
      <c r="I778" s="5" t="s">
        <v>1891</v>
      </c>
      <c r="J778" s="5" t="s">
        <v>1678</v>
      </c>
      <c r="K778" s="5" t="s">
        <v>1872</v>
      </c>
      <c r="L778" s="5" t="s">
        <v>1680</v>
      </c>
      <c r="M778" s="5" t="s">
        <v>1681</v>
      </c>
      <c r="N778" s="5" t="s">
        <v>1682</v>
      </c>
      <c r="O778" s="5" t="s">
        <v>1680</v>
      </c>
      <c r="P778" s="6">
        <v>7310</v>
      </c>
      <c r="Q778" s="6">
        <v>7310</v>
      </c>
      <c r="R778" s="6">
        <v>0</v>
      </c>
      <c r="S778" s="6">
        <v>0</v>
      </c>
      <c r="T778" s="6">
        <v>0</v>
      </c>
    </row>
    <row r="779" spans="1:20">
      <c r="A779" s="5" t="s">
        <v>1672</v>
      </c>
      <c r="B779" s="5" t="s">
        <v>1673</v>
      </c>
      <c r="C779" s="5" t="s">
        <v>1715</v>
      </c>
      <c r="D779" s="5" t="s">
        <v>325</v>
      </c>
      <c r="E779" s="5" t="s">
        <v>1784</v>
      </c>
      <c r="F779" s="5" t="s">
        <v>1785</v>
      </c>
      <c r="G779" s="5" t="s">
        <v>1786</v>
      </c>
      <c r="H779" s="5" t="s">
        <v>1787</v>
      </c>
      <c r="I779" s="5" t="s">
        <v>1891</v>
      </c>
      <c r="J779" s="5" t="s">
        <v>1678</v>
      </c>
      <c r="K779" s="5" t="s">
        <v>1872</v>
      </c>
      <c r="L779" s="5" t="s">
        <v>1680</v>
      </c>
      <c r="M779" s="5" t="s">
        <v>1681</v>
      </c>
      <c r="N779" s="5" t="s">
        <v>1682</v>
      </c>
      <c r="O779" s="5" t="s">
        <v>1680</v>
      </c>
      <c r="P779" s="6">
        <v>7310</v>
      </c>
      <c r="Q779" s="6">
        <v>7310</v>
      </c>
      <c r="R779" s="6">
        <v>0</v>
      </c>
      <c r="S779" s="6">
        <v>0</v>
      </c>
      <c r="T779" s="6">
        <v>0</v>
      </c>
    </row>
    <row r="780" spans="1:20">
      <c r="A780" s="5" t="s">
        <v>1672</v>
      </c>
      <c r="B780" s="5" t="s">
        <v>1673</v>
      </c>
      <c r="C780" s="5" t="s">
        <v>1715</v>
      </c>
      <c r="D780" s="5" t="s">
        <v>325</v>
      </c>
      <c r="E780" s="5" t="s">
        <v>1788</v>
      </c>
      <c r="F780" s="5" t="s">
        <v>1789</v>
      </c>
      <c r="G780" s="5" t="s">
        <v>1790</v>
      </c>
      <c r="H780" s="5" t="s">
        <v>1791</v>
      </c>
      <c r="I780" s="5" t="s">
        <v>1891</v>
      </c>
      <c r="J780" s="5" t="s">
        <v>1678</v>
      </c>
      <c r="K780" s="5" t="s">
        <v>1872</v>
      </c>
      <c r="L780" s="5" t="s">
        <v>1680</v>
      </c>
      <c r="M780" s="5" t="s">
        <v>1681</v>
      </c>
      <c r="N780" s="5" t="s">
        <v>1682</v>
      </c>
      <c r="O780" s="5" t="s">
        <v>1680</v>
      </c>
      <c r="P780" s="6">
        <v>7310</v>
      </c>
      <c r="Q780" s="6">
        <v>7310</v>
      </c>
      <c r="R780" s="6">
        <v>0</v>
      </c>
      <c r="S780" s="6">
        <v>0</v>
      </c>
      <c r="T780" s="6">
        <v>0</v>
      </c>
    </row>
    <row r="781" spans="1:20">
      <c r="A781" s="5" t="s">
        <v>1672</v>
      </c>
      <c r="B781" s="5" t="s">
        <v>1673</v>
      </c>
      <c r="C781" s="5" t="s">
        <v>1715</v>
      </c>
      <c r="D781" s="5" t="s">
        <v>325</v>
      </c>
      <c r="E781" s="5" t="s">
        <v>1792</v>
      </c>
      <c r="F781" s="5" t="s">
        <v>1793</v>
      </c>
      <c r="G781" s="5" t="s">
        <v>1794</v>
      </c>
      <c r="H781" s="5" t="s">
        <v>1795</v>
      </c>
      <c r="I781" s="5" t="s">
        <v>1891</v>
      </c>
      <c r="J781" s="5" t="s">
        <v>1678</v>
      </c>
      <c r="K781" s="5" t="s">
        <v>1872</v>
      </c>
      <c r="L781" s="5" t="s">
        <v>1680</v>
      </c>
      <c r="M781" s="5" t="s">
        <v>1681</v>
      </c>
      <c r="N781" s="5" t="s">
        <v>1682</v>
      </c>
      <c r="O781" s="5" t="s">
        <v>1680</v>
      </c>
      <c r="P781" s="6">
        <v>7310</v>
      </c>
      <c r="Q781" s="6">
        <v>7310</v>
      </c>
      <c r="R781" s="6">
        <v>0</v>
      </c>
      <c r="S781" s="6">
        <v>0</v>
      </c>
      <c r="T781" s="6">
        <v>0</v>
      </c>
    </row>
    <row r="782" spans="1:20">
      <c r="A782" s="5" t="s">
        <v>1672</v>
      </c>
      <c r="B782" s="5" t="s">
        <v>1673</v>
      </c>
      <c r="C782" s="5" t="s">
        <v>1715</v>
      </c>
      <c r="D782" s="5" t="s">
        <v>325</v>
      </c>
      <c r="E782" s="5" t="s">
        <v>1796</v>
      </c>
      <c r="F782" s="5" t="s">
        <v>1797</v>
      </c>
      <c r="G782" s="5" t="s">
        <v>1796</v>
      </c>
      <c r="H782" s="5" t="s">
        <v>1797</v>
      </c>
      <c r="I782" s="5" t="s">
        <v>1891</v>
      </c>
      <c r="J782" s="5" t="s">
        <v>1678</v>
      </c>
      <c r="K782" s="5" t="s">
        <v>1872</v>
      </c>
      <c r="L782" s="5" t="s">
        <v>1680</v>
      </c>
      <c r="M782" s="5" t="s">
        <v>1681</v>
      </c>
      <c r="N782" s="5" t="s">
        <v>1682</v>
      </c>
      <c r="O782" s="5" t="s">
        <v>1680</v>
      </c>
      <c r="P782" s="6">
        <v>7310</v>
      </c>
      <c r="Q782" s="6">
        <v>7310</v>
      </c>
      <c r="R782" s="6">
        <v>0</v>
      </c>
      <c r="S782" s="6">
        <v>0</v>
      </c>
      <c r="T782" s="6">
        <v>0</v>
      </c>
    </row>
    <row r="783" spans="1:20">
      <c r="A783" s="5" t="s">
        <v>1672</v>
      </c>
      <c r="B783" s="5" t="s">
        <v>1673</v>
      </c>
      <c r="C783" s="5" t="s">
        <v>1715</v>
      </c>
      <c r="D783" s="5" t="s">
        <v>325</v>
      </c>
      <c r="E783" s="5" t="s">
        <v>1798</v>
      </c>
      <c r="F783" s="5" t="s">
        <v>1799</v>
      </c>
      <c r="G783" s="5" t="s">
        <v>1798</v>
      </c>
      <c r="H783" s="5" t="s">
        <v>1799</v>
      </c>
      <c r="I783" s="5" t="s">
        <v>1891</v>
      </c>
      <c r="J783" s="5" t="s">
        <v>1678</v>
      </c>
      <c r="K783" s="5" t="s">
        <v>1872</v>
      </c>
      <c r="L783" s="5" t="s">
        <v>1680</v>
      </c>
      <c r="M783" s="5" t="s">
        <v>1681</v>
      </c>
      <c r="N783" s="5" t="s">
        <v>1682</v>
      </c>
      <c r="O783" s="5" t="s">
        <v>1680</v>
      </c>
      <c r="P783" s="6">
        <v>7310</v>
      </c>
      <c r="Q783" s="6">
        <v>7310</v>
      </c>
      <c r="R783" s="6">
        <v>0</v>
      </c>
      <c r="S783" s="6">
        <v>0</v>
      </c>
      <c r="T783" s="6">
        <v>0</v>
      </c>
    </row>
    <row r="784" spans="1:20">
      <c r="A784" s="5" t="s">
        <v>1672</v>
      </c>
      <c r="B784" s="5" t="s">
        <v>1673</v>
      </c>
      <c r="C784" s="5" t="s">
        <v>1715</v>
      </c>
      <c r="D784" s="5" t="s">
        <v>325</v>
      </c>
      <c r="E784" s="5" t="s">
        <v>1800</v>
      </c>
      <c r="F784" s="5" t="s">
        <v>1801</v>
      </c>
      <c r="G784" s="5" t="s">
        <v>1800</v>
      </c>
      <c r="H784" s="5" t="s">
        <v>1801</v>
      </c>
      <c r="I784" s="5" t="s">
        <v>1891</v>
      </c>
      <c r="J784" s="5" t="s">
        <v>1678</v>
      </c>
      <c r="K784" s="5" t="s">
        <v>1872</v>
      </c>
      <c r="L784" s="5" t="s">
        <v>1680</v>
      </c>
      <c r="M784" s="5" t="s">
        <v>1681</v>
      </c>
      <c r="N784" s="5" t="s">
        <v>1682</v>
      </c>
      <c r="O784" s="5" t="s">
        <v>1680</v>
      </c>
      <c r="P784" s="6">
        <v>7310</v>
      </c>
      <c r="Q784" s="6">
        <v>7310</v>
      </c>
      <c r="R784" s="6">
        <v>0</v>
      </c>
      <c r="S784" s="6">
        <v>0</v>
      </c>
      <c r="T784" s="6">
        <v>0</v>
      </c>
    </row>
    <row r="785" spans="1:20">
      <c r="A785" s="5" t="s">
        <v>1672</v>
      </c>
      <c r="B785" s="5" t="s">
        <v>1673</v>
      </c>
      <c r="C785" s="5" t="s">
        <v>1715</v>
      </c>
      <c r="D785" s="5" t="s">
        <v>325</v>
      </c>
      <c r="E785" s="5" t="s">
        <v>1802</v>
      </c>
      <c r="F785" s="5" t="s">
        <v>1803</v>
      </c>
      <c r="G785" s="5" t="s">
        <v>1804</v>
      </c>
      <c r="H785" s="5" t="s">
        <v>1805</v>
      </c>
      <c r="I785" s="5" t="s">
        <v>1891</v>
      </c>
      <c r="J785" s="5" t="s">
        <v>1678</v>
      </c>
      <c r="K785" s="5" t="s">
        <v>1872</v>
      </c>
      <c r="L785" s="5" t="s">
        <v>1680</v>
      </c>
      <c r="M785" s="5" t="s">
        <v>1681</v>
      </c>
      <c r="N785" s="5" t="s">
        <v>1682</v>
      </c>
      <c r="O785" s="5" t="s">
        <v>1680</v>
      </c>
      <c r="P785" s="6">
        <v>7310</v>
      </c>
      <c r="Q785" s="6">
        <v>7310</v>
      </c>
      <c r="R785" s="6">
        <v>0</v>
      </c>
      <c r="S785" s="6">
        <v>0</v>
      </c>
      <c r="T785" s="6">
        <v>0</v>
      </c>
    </row>
    <row r="786" spans="1:20">
      <c r="A786" s="5" t="s">
        <v>1672</v>
      </c>
      <c r="B786" s="5" t="s">
        <v>1673</v>
      </c>
      <c r="C786" s="5" t="s">
        <v>1715</v>
      </c>
      <c r="D786" s="5" t="s">
        <v>325</v>
      </c>
      <c r="E786" s="5" t="s">
        <v>1806</v>
      </c>
      <c r="F786" s="5" t="s">
        <v>1807</v>
      </c>
      <c r="G786" s="5" t="s">
        <v>1808</v>
      </c>
      <c r="H786" s="5" t="s">
        <v>1809</v>
      </c>
      <c r="I786" s="5" t="s">
        <v>1891</v>
      </c>
      <c r="J786" s="5" t="s">
        <v>1678</v>
      </c>
      <c r="K786" s="5" t="s">
        <v>1872</v>
      </c>
      <c r="L786" s="5" t="s">
        <v>1680</v>
      </c>
      <c r="M786" s="5" t="s">
        <v>1681</v>
      </c>
      <c r="N786" s="5" t="s">
        <v>1682</v>
      </c>
      <c r="O786" s="5" t="s">
        <v>1680</v>
      </c>
      <c r="P786" s="6">
        <v>7310</v>
      </c>
      <c r="Q786" s="6">
        <v>7310</v>
      </c>
      <c r="R786" s="6">
        <v>0</v>
      </c>
      <c r="S786" s="6">
        <v>0</v>
      </c>
      <c r="T786" s="6">
        <v>0</v>
      </c>
    </row>
    <row r="787" spans="1:20">
      <c r="A787" s="5" t="s">
        <v>1672</v>
      </c>
      <c r="B787" s="5" t="s">
        <v>1673</v>
      </c>
      <c r="C787" s="5" t="s">
        <v>1715</v>
      </c>
      <c r="D787" s="5" t="s">
        <v>325</v>
      </c>
      <c r="E787" s="5" t="s">
        <v>1810</v>
      </c>
      <c r="F787" s="5" t="s">
        <v>1811</v>
      </c>
      <c r="G787" s="5" t="s">
        <v>1812</v>
      </c>
      <c r="H787" s="5" t="s">
        <v>1813</v>
      </c>
      <c r="I787" s="5" t="s">
        <v>1891</v>
      </c>
      <c r="J787" s="5" t="s">
        <v>1678</v>
      </c>
      <c r="K787" s="5" t="s">
        <v>1872</v>
      </c>
      <c r="L787" s="5" t="s">
        <v>1680</v>
      </c>
      <c r="M787" s="5" t="s">
        <v>1681</v>
      </c>
      <c r="N787" s="5" t="s">
        <v>1682</v>
      </c>
      <c r="O787" s="5" t="s">
        <v>1680</v>
      </c>
      <c r="P787" s="6">
        <v>7310</v>
      </c>
      <c r="Q787" s="6">
        <v>7310</v>
      </c>
      <c r="R787" s="6">
        <v>0</v>
      </c>
      <c r="S787" s="6">
        <v>0</v>
      </c>
      <c r="T787" s="6">
        <v>0</v>
      </c>
    </row>
    <row r="788" spans="1:20">
      <c r="A788" s="5" t="s">
        <v>1672</v>
      </c>
      <c r="B788" s="5" t="s">
        <v>1673</v>
      </c>
      <c r="C788" s="5" t="s">
        <v>1715</v>
      </c>
      <c r="D788" s="5" t="s">
        <v>325</v>
      </c>
      <c r="E788" s="5" t="s">
        <v>1814</v>
      </c>
      <c r="F788" s="5" t="s">
        <v>1815</v>
      </c>
      <c r="G788" s="5" t="s">
        <v>1814</v>
      </c>
      <c r="H788" s="5" t="s">
        <v>1815</v>
      </c>
      <c r="I788" s="5" t="s">
        <v>1891</v>
      </c>
      <c r="J788" s="5" t="s">
        <v>1678</v>
      </c>
      <c r="K788" s="5" t="s">
        <v>1872</v>
      </c>
      <c r="L788" s="5" t="s">
        <v>1680</v>
      </c>
      <c r="M788" s="5" t="s">
        <v>1681</v>
      </c>
      <c r="N788" s="5" t="s">
        <v>1682</v>
      </c>
      <c r="O788" s="5" t="s">
        <v>1680</v>
      </c>
      <c r="P788" s="6">
        <v>7310</v>
      </c>
      <c r="Q788" s="6">
        <v>7310</v>
      </c>
      <c r="R788" s="6">
        <v>0</v>
      </c>
      <c r="S788" s="6">
        <v>0</v>
      </c>
      <c r="T788" s="6">
        <v>0</v>
      </c>
    </row>
    <row r="789" spans="1:20">
      <c r="A789" s="5" t="s">
        <v>1672</v>
      </c>
      <c r="B789" s="5" t="s">
        <v>1673</v>
      </c>
      <c r="C789" s="5" t="s">
        <v>1715</v>
      </c>
      <c r="D789" s="5" t="s">
        <v>325</v>
      </c>
      <c r="E789" s="5" t="s">
        <v>1816</v>
      </c>
      <c r="F789" s="5" t="s">
        <v>1817</v>
      </c>
      <c r="G789" s="5" t="s">
        <v>1818</v>
      </c>
      <c r="H789" s="5" t="s">
        <v>1819</v>
      </c>
      <c r="I789" s="5" t="s">
        <v>1891</v>
      </c>
      <c r="J789" s="5" t="s">
        <v>1678</v>
      </c>
      <c r="K789" s="5" t="s">
        <v>1872</v>
      </c>
      <c r="L789" s="5" t="s">
        <v>1680</v>
      </c>
      <c r="M789" s="5" t="s">
        <v>1681</v>
      </c>
      <c r="N789" s="5" t="s">
        <v>1682</v>
      </c>
      <c r="O789" s="5" t="s">
        <v>1680</v>
      </c>
      <c r="P789" s="6">
        <v>7310</v>
      </c>
      <c r="Q789" s="6">
        <v>7310</v>
      </c>
      <c r="R789" s="6">
        <v>0</v>
      </c>
      <c r="S789" s="6">
        <v>0</v>
      </c>
      <c r="T789" s="6">
        <v>0</v>
      </c>
    </row>
    <row r="790" spans="1:20">
      <c r="A790" s="5" t="s">
        <v>1672</v>
      </c>
      <c r="B790" s="5" t="s">
        <v>1673</v>
      </c>
      <c r="C790" s="5" t="s">
        <v>1715</v>
      </c>
      <c r="D790" s="5" t="s">
        <v>325</v>
      </c>
      <c r="E790" s="5" t="s">
        <v>1820</v>
      </c>
      <c r="F790" s="5" t="s">
        <v>1821</v>
      </c>
      <c r="G790" s="5" t="s">
        <v>1822</v>
      </c>
      <c r="H790" s="5" t="s">
        <v>1823</v>
      </c>
      <c r="I790" s="5" t="s">
        <v>1891</v>
      </c>
      <c r="J790" s="5" t="s">
        <v>1678</v>
      </c>
      <c r="K790" s="5" t="s">
        <v>1872</v>
      </c>
      <c r="L790" s="5" t="s">
        <v>1680</v>
      </c>
      <c r="M790" s="5" t="s">
        <v>1681</v>
      </c>
      <c r="N790" s="5" t="s">
        <v>1682</v>
      </c>
      <c r="O790" s="5" t="s">
        <v>1680</v>
      </c>
      <c r="P790" s="6">
        <v>7310</v>
      </c>
      <c r="Q790" s="6">
        <v>7310</v>
      </c>
      <c r="R790" s="6">
        <v>0</v>
      </c>
      <c r="S790" s="6">
        <v>0</v>
      </c>
      <c r="T790" s="6">
        <v>0</v>
      </c>
    </row>
    <row r="791" spans="1:20">
      <c r="A791" s="5" t="s">
        <v>1672</v>
      </c>
      <c r="B791" s="5" t="s">
        <v>1673</v>
      </c>
      <c r="C791" s="5" t="s">
        <v>1715</v>
      </c>
      <c r="D791" s="5" t="s">
        <v>325</v>
      </c>
      <c r="E791" s="5" t="s">
        <v>1824</v>
      </c>
      <c r="F791" s="5" t="s">
        <v>1825</v>
      </c>
      <c r="G791" s="5" t="s">
        <v>1826</v>
      </c>
      <c r="H791" s="5" t="s">
        <v>1827</v>
      </c>
      <c r="I791" s="5" t="s">
        <v>1891</v>
      </c>
      <c r="J791" s="5" t="s">
        <v>1678</v>
      </c>
      <c r="K791" s="5" t="s">
        <v>1872</v>
      </c>
      <c r="L791" s="5" t="s">
        <v>1680</v>
      </c>
      <c r="M791" s="5" t="s">
        <v>1681</v>
      </c>
      <c r="N791" s="5" t="s">
        <v>1682</v>
      </c>
      <c r="O791" s="5" t="s">
        <v>1680</v>
      </c>
      <c r="P791" s="6">
        <v>7310</v>
      </c>
      <c r="Q791" s="6">
        <v>7310</v>
      </c>
      <c r="R791" s="6">
        <v>0</v>
      </c>
      <c r="S791" s="6">
        <v>0</v>
      </c>
      <c r="T791" s="6">
        <v>0</v>
      </c>
    </row>
    <row r="792" spans="1:20">
      <c r="A792" s="5" t="s">
        <v>1672</v>
      </c>
      <c r="B792" s="5" t="s">
        <v>1673</v>
      </c>
      <c r="C792" s="5" t="s">
        <v>1715</v>
      </c>
      <c r="D792" s="5" t="s">
        <v>325</v>
      </c>
      <c r="E792" s="5" t="s">
        <v>1828</v>
      </c>
      <c r="F792" s="5" t="s">
        <v>1829</v>
      </c>
      <c r="G792" s="5" t="s">
        <v>1828</v>
      </c>
      <c r="H792" s="5" t="s">
        <v>1829</v>
      </c>
      <c r="I792" s="5" t="s">
        <v>1891</v>
      </c>
      <c r="J792" s="5" t="s">
        <v>1678</v>
      </c>
      <c r="K792" s="5" t="s">
        <v>1872</v>
      </c>
      <c r="L792" s="5" t="s">
        <v>1680</v>
      </c>
      <c r="M792" s="5" t="s">
        <v>1681</v>
      </c>
      <c r="N792" s="5" t="s">
        <v>1682</v>
      </c>
      <c r="O792" s="5" t="s">
        <v>1680</v>
      </c>
      <c r="P792" s="6">
        <v>7310</v>
      </c>
      <c r="Q792" s="6">
        <v>7310</v>
      </c>
      <c r="R792" s="6">
        <v>0</v>
      </c>
      <c r="S792" s="6">
        <v>0</v>
      </c>
      <c r="T792" s="6">
        <v>0</v>
      </c>
    </row>
    <row r="793" spans="1:20">
      <c r="A793" s="5" t="s">
        <v>1672</v>
      </c>
      <c r="B793" s="5" t="s">
        <v>1673</v>
      </c>
      <c r="C793" s="5" t="s">
        <v>1715</v>
      </c>
      <c r="D793" s="5" t="s">
        <v>325</v>
      </c>
      <c r="E793" s="5" t="s">
        <v>1830</v>
      </c>
      <c r="F793" s="5" t="s">
        <v>1831</v>
      </c>
      <c r="G793" s="5" t="s">
        <v>1830</v>
      </c>
      <c r="H793" s="5" t="s">
        <v>1831</v>
      </c>
      <c r="I793" s="5" t="s">
        <v>1891</v>
      </c>
      <c r="J793" s="5" t="s">
        <v>1678</v>
      </c>
      <c r="K793" s="5" t="s">
        <v>1872</v>
      </c>
      <c r="L793" s="5" t="s">
        <v>1680</v>
      </c>
      <c r="M793" s="5" t="s">
        <v>1681</v>
      </c>
      <c r="N793" s="5" t="s">
        <v>1682</v>
      </c>
      <c r="O793" s="5" t="s">
        <v>1680</v>
      </c>
      <c r="P793" s="6">
        <v>7310</v>
      </c>
      <c r="Q793" s="6">
        <v>7310</v>
      </c>
      <c r="R793" s="6">
        <v>0</v>
      </c>
      <c r="S793" s="6">
        <v>0</v>
      </c>
      <c r="T793" s="6">
        <v>0</v>
      </c>
    </row>
    <row r="794" spans="1:20">
      <c r="A794" s="5" t="s">
        <v>1672</v>
      </c>
      <c r="B794" s="5" t="s">
        <v>1673</v>
      </c>
      <c r="C794" s="5" t="s">
        <v>1715</v>
      </c>
      <c r="D794" s="5" t="s">
        <v>325</v>
      </c>
      <c r="E794" s="5" t="s">
        <v>1832</v>
      </c>
      <c r="F794" s="5" t="s">
        <v>1833</v>
      </c>
      <c r="G794" s="5" t="s">
        <v>1834</v>
      </c>
      <c r="H794" s="5" t="s">
        <v>1835</v>
      </c>
      <c r="I794" s="5" t="s">
        <v>1891</v>
      </c>
      <c r="J794" s="5" t="s">
        <v>1678</v>
      </c>
      <c r="K794" s="5" t="s">
        <v>1872</v>
      </c>
      <c r="L794" s="5" t="s">
        <v>1680</v>
      </c>
      <c r="M794" s="5" t="s">
        <v>1681</v>
      </c>
      <c r="N794" s="5" t="s">
        <v>1682</v>
      </c>
      <c r="O794" s="5" t="s">
        <v>1680</v>
      </c>
      <c r="P794" s="6">
        <v>7310</v>
      </c>
      <c r="Q794" s="6">
        <v>7310</v>
      </c>
      <c r="R794" s="6">
        <v>0</v>
      </c>
      <c r="S794" s="6">
        <v>0</v>
      </c>
      <c r="T794" s="6">
        <v>0</v>
      </c>
    </row>
    <row r="795" spans="1:20">
      <c r="A795" s="5" t="s">
        <v>1672</v>
      </c>
      <c r="B795" s="5" t="s">
        <v>1673</v>
      </c>
      <c r="C795" s="5" t="s">
        <v>1715</v>
      </c>
      <c r="D795" s="5" t="s">
        <v>325</v>
      </c>
      <c r="E795" s="5" t="s">
        <v>1836</v>
      </c>
      <c r="F795" s="5" t="s">
        <v>1837</v>
      </c>
      <c r="G795" s="5" t="s">
        <v>1836</v>
      </c>
      <c r="H795" s="5" t="s">
        <v>1837</v>
      </c>
      <c r="I795" s="5" t="s">
        <v>1891</v>
      </c>
      <c r="J795" s="5" t="s">
        <v>1678</v>
      </c>
      <c r="K795" s="5" t="s">
        <v>1872</v>
      </c>
      <c r="L795" s="5" t="s">
        <v>1680</v>
      </c>
      <c r="M795" s="5" t="s">
        <v>1681</v>
      </c>
      <c r="N795" s="5" t="s">
        <v>1682</v>
      </c>
      <c r="O795" s="5" t="s">
        <v>1680</v>
      </c>
      <c r="P795" s="6">
        <v>7310</v>
      </c>
      <c r="Q795" s="6">
        <v>7310</v>
      </c>
      <c r="R795" s="6">
        <v>0</v>
      </c>
      <c r="S795" s="6">
        <v>0</v>
      </c>
      <c r="T795" s="6">
        <v>0</v>
      </c>
    </row>
    <row r="796" spans="1:20">
      <c r="A796" s="5" t="s">
        <v>1672</v>
      </c>
      <c r="B796" s="5" t="s">
        <v>1673</v>
      </c>
      <c r="C796" s="5" t="s">
        <v>1715</v>
      </c>
      <c r="D796" s="5" t="s">
        <v>325</v>
      </c>
      <c r="E796" s="5" t="s">
        <v>1838</v>
      </c>
      <c r="F796" s="5" t="s">
        <v>1839</v>
      </c>
      <c r="G796" s="5" t="s">
        <v>1840</v>
      </c>
      <c r="H796" s="5" t="s">
        <v>1841</v>
      </c>
      <c r="I796" s="5" t="s">
        <v>1891</v>
      </c>
      <c r="J796" s="5" t="s">
        <v>1678</v>
      </c>
      <c r="K796" s="5" t="s">
        <v>1872</v>
      </c>
      <c r="L796" s="5" t="s">
        <v>1680</v>
      </c>
      <c r="M796" s="5" t="s">
        <v>1681</v>
      </c>
      <c r="N796" s="5" t="s">
        <v>1682</v>
      </c>
      <c r="O796" s="5" t="s">
        <v>1680</v>
      </c>
      <c r="P796" s="6">
        <v>7310</v>
      </c>
      <c r="Q796" s="6">
        <v>7310</v>
      </c>
      <c r="R796" s="6">
        <v>0</v>
      </c>
      <c r="S796" s="6">
        <v>0</v>
      </c>
      <c r="T796" s="6">
        <v>0</v>
      </c>
    </row>
  </sheetData>
  <sheetProtection password="DE74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86"/>
  <sheetViews>
    <sheetView topLeftCell="A106" workbookViewId="0">
      <selection activeCell="B114" sqref="B114"/>
    </sheetView>
  </sheetViews>
  <sheetFormatPr defaultRowHeight="15"/>
  <cols>
    <col min="1" max="1" width="10.5703125" bestFit="1" customWidth="1"/>
    <col min="2" max="2" width="16.5703125" customWidth="1"/>
    <col min="3" max="3" width="26.28515625" customWidth="1"/>
    <col min="4" max="4" width="10.140625" bestFit="1" customWidth="1"/>
  </cols>
  <sheetData>
    <row r="1" spans="1:4">
      <c r="A1" s="17" t="s">
        <v>1892</v>
      </c>
      <c r="B1" s="17" t="s">
        <v>1893</v>
      </c>
      <c r="C1" s="17" t="s">
        <v>1894</v>
      </c>
      <c r="D1" s="17" t="s">
        <v>1895</v>
      </c>
    </row>
    <row r="2" spans="1:4">
      <c r="A2" s="18" t="s">
        <v>1896</v>
      </c>
      <c r="B2" s="18" t="str">
        <f>"0000000100"</f>
        <v>0000000100</v>
      </c>
      <c r="C2" s="18" t="str">
        <f>"CITY BU Health Insurance"</f>
        <v>CITY BU Health Insurance</v>
      </c>
      <c r="D2" s="18"/>
    </row>
    <row r="3" spans="1:4">
      <c r="A3" s="18" t="s">
        <v>1896</v>
      </c>
      <c r="B3" s="18" t="str">
        <f>"0000000200"</f>
        <v>0000000200</v>
      </c>
      <c r="C3" s="18" t="str">
        <f>"CITY BU Employee Welfare"</f>
        <v>CITY BU Employee Welfare</v>
      </c>
      <c r="D3" s="18"/>
    </row>
    <row r="4" spans="1:4">
      <c r="A4" s="18" t="s">
        <v>1896</v>
      </c>
      <c r="B4" s="18" t="str">
        <f>"0000000300"</f>
        <v>0000000300</v>
      </c>
      <c r="C4" s="18" t="str">
        <f>"CITY BU Faculty Welfare"</f>
        <v>CITY BU Faculty Welfare</v>
      </c>
      <c r="D4" s="18"/>
    </row>
    <row r="5" spans="1:4">
      <c r="A5" s="18" t="s">
        <v>1896</v>
      </c>
      <c r="B5" s="18" t="str">
        <f>"0000000400"</f>
        <v>0000000400</v>
      </c>
      <c r="C5" s="18" t="str">
        <f>"CITY BU TRS"</f>
        <v>CITY BU TRS</v>
      </c>
      <c r="D5" s="18"/>
    </row>
    <row r="6" spans="1:4">
      <c r="A6" s="18" t="s">
        <v>1896</v>
      </c>
      <c r="B6" s="18" t="str">
        <f>"0000000500"</f>
        <v>0000000500</v>
      </c>
      <c r="C6" s="18" t="str">
        <f>"CITY BU ERS"</f>
        <v>CITY BU ERS</v>
      </c>
      <c r="D6" s="18"/>
    </row>
    <row r="7" spans="1:4">
      <c r="A7" s="18" t="s">
        <v>1896</v>
      </c>
      <c r="B7" s="18" t="str">
        <f>"0000000600"</f>
        <v>0000000600</v>
      </c>
      <c r="C7" s="18" t="str">
        <f>"CITY BU TIAA CREF"</f>
        <v>CITY BU TIAA CREF</v>
      </c>
      <c r="D7" s="18"/>
    </row>
    <row r="8" spans="1:4">
      <c r="A8" s="18" t="s">
        <v>1896</v>
      </c>
      <c r="B8" s="18" t="str">
        <f>"0000000700"</f>
        <v>0000000700</v>
      </c>
      <c r="C8" s="18" t="str">
        <f>"CITY BU Workers Compensation"</f>
        <v>CITY BU Workers Compensation</v>
      </c>
      <c r="D8" s="18"/>
    </row>
    <row r="9" spans="1:4">
      <c r="A9" s="18" t="s">
        <v>1896</v>
      </c>
      <c r="B9" s="18" t="str">
        <f>"0000000800"</f>
        <v>0000000800</v>
      </c>
      <c r="C9" s="18" t="str">
        <f>"CITY BU Unemployment"</f>
        <v>CITY BU Unemployment</v>
      </c>
      <c r="D9" s="18"/>
    </row>
    <row r="10" spans="1:4">
      <c r="A10" s="18" t="s">
        <v>1896</v>
      </c>
      <c r="B10" s="18" t="str">
        <f>"0000000900"</f>
        <v>0000000900</v>
      </c>
      <c r="C10" s="18" t="str">
        <f>"Intracity Payments"</f>
        <v>Intracity Payments</v>
      </c>
      <c r="D10" s="18"/>
    </row>
    <row r="11" spans="1:4">
      <c r="A11" s="18" t="s">
        <v>1896</v>
      </c>
      <c r="B11" s="18" t="str">
        <f>"0000001000"</f>
        <v>0000001000</v>
      </c>
      <c r="C11" s="18" t="str">
        <f>"City Council Payments"</f>
        <v>City Council Payments</v>
      </c>
      <c r="D11" s="18"/>
    </row>
    <row r="12" spans="1:4">
      <c r="A12" s="18" t="s">
        <v>1896</v>
      </c>
      <c r="B12" s="18" t="str">
        <f>"0000002000"</f>
        <v>0000002000</v>
      </c>
      <c r="C12" s="18" t="str">
        <f>"Payments to Students(stipends)"</f>
        <v>Payments to Students(stipends)</v>
      </c>
      <c r="D12" s="18"/>
    </row>
    <row r="13" spans="1:4">
      <c r="A13" s="18" t="s">
        <v>1896</v>
      </c>
      <c r="B13" s="18" t="str">
        <f>"0000003000"</f>
        <v>0000003000</v>
      </c>
      <c r="C13" s="18" t="str">
        <f>"Honoraria"</f>
        <v>Honoraria</v>
      </c>
      <c r="D13" s="18"/>
    </row>
    <row r="14" spans="1:4">
      <c r="A14" s="18" t="s">
        <v>1896</v>
      </c>
      <c r="B14" s="18" t="str">
        <f>"0000090100"</f>
        <v>0000090100</v>
      </c>
      <c r="C14" s="18" t="str">
        <f>"State BU Health Insurance"</f>
        <v>State BU Health Insurance</v>
      </c>
      <c r="D14" s="18"/>
    </row>
    <row r="15" spans="1:4">
      <c r="A15" s="18" t="s">
        <v>1896</v>
      </c>
      <c r="B15" s="18" t="str">
        <f>"0000090200"</f>
        <v>0000090200</v>
      </c>
      <c r="C15" s="18" t="str">
        <f>"State BU Employee Welfare"</f>
        <v>State BU Employee Welfare</v>
      </c>
      <c r="D15" s="18"/>
    </row>
    <row r="16" spans="1:4">
      <c r="A16" s="18" t="s">
        <v>1896</v>
      </c>
      <c r="B16" s="18" t="str">
        <f>"0000090300"</f>
        <v>0000090300</v>
      </c>
      <c r="C16" s="18" t="str">
        <f>"State BU Faculty Welfare"</f>
        <v>State BU Faculty Welfare</v>
      </c>
      <c r="D16" s="18"/>
    </row>
    <row r="17" spans="1:4">
      <c r="A17" s="18" t="s">
        <v>1896</v>
      </c>
      <c r="B17" s="18" t="str">
        <f>"0000090400"</f>
        <v>0000090400</v>
      </c>
      <c r="C17" s="18" t="str">
        <f>"State BU TRS"</f>
        <v>State BU TRS</v>
      </c>
      <c r="D17" s="18"/>
    </row>
    <row r="18" spans="1:4">
      <c r="A18" s="18" t="s">
        <v>1896</v>
      </c>
      <c r="B18" s="18" t="str">
        <f>"0000090500"</f>
        <v>0000090500</v>
      </c>
      <c r="C18" s="18" t="str">
        <f>"State BU ERS"</f>
        <v>State BU ERS</v>
      </c>
      <c r="D18" s="18"/>
    </row>
    <row r="19" spans="1:4" ht="27">
      <c r="A19" s="18" t="s">
        <v>1896</v>
      </c>
      <c r="B19" s="18" t="str">
        <f>"0000090700"</f>
        <v>0000090700</v>
      </c>
      <c r="C19" s="18" t="str">
        <f>"State BU Workers Compensation"</f>
        <v>State BU Workers Compensation</v>
      </c>
      <c r="D19" s="18"/>
    </row>
    <row r="20" spans="1:4">
      <c r="A20" s="18" t="s">
        <v>1896</v>
      </c>
      <c r="B20" s="18" t="str">
        <f>"0000090800"</f>
        <v>0000090800</v>
      </c>
      <c r="C20" s="18" t="str">
        <f>"State BU Unemployment"</f>
        <v>State BU Unemployment</v>
      </c>
      <c r="D20" s="18"/>
    </row>
    <row r="21" spans="1:4">
      <c r="A21" s="18" t="s">
        <v>1896</v>
      </c>
      <c r="B21" s="18" t="str">
        <f>"1014000000"</f>
        <v>1014000000</v>
      </c>
      <c r="C21" s="18" t="str">
        <f>"Saddlery &amp; harness goods"</f>
        <v>Saddlery &amp; harness goods</v>
      </c>
      <c r="D21" s="18"/>
    </row>
    <row r="22" spans="1:4">
      <c r="A22" s="18" t="s">
        <v>300</v>
      </c>
      <c r="B22" s="18" t="str">
        <f>"1000"</f>
        <v>1000</v>
      </c>
      <c r="C22" s="18" t="str">
        <f>"1000"</f>
        <v>1000</v>
      </c>
      <c r="D22" s="18" t="s">
        <v>1895</v>
      </c>
    </row>
    <row r="23" spans="1:4">
      <c r="A23" s="18" t="s">
        <v>300</v>
      </c>
      <c r="B23" s="18" t="str">
        <f>"1010000000"</f>
        <v>1010000000</v>
      </c>
      <c r="C23" s="18" t="str">
        <f>"Live animals"</f>
        <v>Live animals</v>
      </c>
      <c r="D23" s="18" t="s">
        <v>1895</v>
      </c>
    </row>
    <row r="24" spans="1:4">
      <c r="A24" s="18" t="s">
        <v>300</v>
      </c>
      <c r="B24" s="18" t="str">
        <f>"1011000000"</f>
        <v>1011000000</v>
      </c>
      <c r="C24" s="18" t="str">
        <f>"Domestic pet products"</f>
        <v>Domestic pet products</v>
      </c>
      <c r="D24" s="18" t="s">
        <v>1895</v>
      </c>
    </row>
    <row r="25" spans="1:4">
      <c r="A25" s="18" t="s">
        <v>300</v>
      </c>
      <c r="B25" s="18" t="str">
        <f>"1012000000"</f>
        <v>1012000000</v>
      </c>
      <c r="C25" s="18" t="str">
        <f>"Animal feed"</f>
        <v>Animal feed</v>
      </c>
      <c r="D25" s="18" t="s">
        <v>1895</v>
      </c>
    </row>
    <row r="26" spans="1:4">
      <c r="A26" s="18" t="s">
        <v>300</v>
      </c>
      <c r="B26" s="18" t="str">
        <f>"1013000000"</f>
        <v>1013000000</v>
      </c>
      <c r="C26" s="18" t="str">
        <f>"Animal containment &amp; habitats"</f>
        <v>Animal containment &amp; habitats</v>
      </c>
      <c r="D26" s="18" t="s">
        <v>1895</v>
      </c>
    </row>
    <row r="27" spans="1:4">
      <c r="A27" s="18" t="s">
        <v>300</v>
      </c>
      <c r="B27" s="18" t="str">
        <f>"1000000000"</f>
        <v>1000000000</v>
      </c>
      <c r="C27" s="18" t="str">
        <f>"1000000000"</f>
        <v>1000000000</v>
      </c>
      <c r="D27" s="18" t="s">
        <v>1895</v>
      </c>
    </row>
    <row r="28" spans="1:4">
      <c r="A28" s="18" t="s">
        <v>300</v>
      </c>
      <c r="B28" s="18" t="str">
        <f>"1015000000"</f>
        <v>1015000000</v>
      </c>
      <c r="C28" s="18" t="str">
        <f>"Seeds bulbs seedlings cuttings"</f>
        <v>Seeds bulbs seedlings cuttings</v>
      </c>
      <c r="D28" s="18" t="s">
        <v>1895</v>
      </c>
    </row>
    <row r="29" spans="1:4">
      <c r="A29" s="18" t="s">
        <v>300</v>
      </c>
      <c r="B29" s="18" t="str">
        <f>"1016000000"</f>
        <v>1016000000</v>
      </c>
      <c r="C29" s="18" t="str">
        <f>"Floriculture silviculture prod"</f>
        <v>Floriculture silviculture prod</v>
      </c>
      <c r="D29" s="18" t="s">
        <v>1895</v>
      </c>
    </row>
    <row r="30" spans="1:4">
      <c r="A30" s="18" t="s">
        <v>300</v>
      </c>
      <c r="B30" s="18" t="str">
        <f>"1017000000"</f>
        <v>1017000000</v>
      </c>
      <c r="C30" s="18" t="str">
        <f>"Fertilizer nutrients herbicide"</f>
        <v>Fertilizer nutrients herbicide</v>
      </c>
      <c r="D30" s="18" t="s">
        <v>1895</v>
      </c>
    </row>
    <row r="31" spans="1:4">
      <c r="A31" s="18" t="s">
        <v>300</v>
      </c>
      <c r="B31" s="18" t="str">
        <f>"1017000080"</f>
        <v>1017000080</v>
      </c>
      <c r="C31" s="18" t="str">
        <f>"Fertilizers &amp; herbicides - Haz"</f>
        <v>Fertilizers &amp; herbicides - Haz</v>
      </c>
      <c r="D31" s="18" t="s">
        <v>1895</v>
      </c>
    </row>
    <row r="32" spans="1:4">
      <c r="A32" s="18" t="s">
        <v>300</v>
      </c>
      <c r="B32" s="18" t="str">
        <f>"1017000090"</f>
        <v>1017000090</v>
      </c>
      <c r="C32" s="18" t="str">
        <f>"Fertilizers &amp; herbicides - Grn"</f>
        <v>Fertilizers &amp; herbicides - Grn</v>
      </c>
      <c r="D32" s="18" t="s">
        <v>1895</v>
      </c>
    </row>
    <row r="33" spans="1:4">
      <c r="A33" s="18" t="s">
        <v>300</v>
      </c>
      <c r="B33" s="18" t="str">
        <f>"1019000000"</f>
        <v>1019000000</v>
      </c>
      <c r="C33" s="18" t="str">
        <f>"Pest ctrl products"</f>
        <v>Pest ctrl products</v>
      </c>
      <c r="D33" s="18" t="s">
        <v>1895</v>
      </c>
    </row>
    <row r="34" spans="1:4">
      <c r="A34" s="18" t="s">
        <v>300</v>
      </c>
      <c r="B34" s="18" t="str">
        <f>"1019000080"</f>
        <v>1019000080</v>
      </c>
      <c r="C34" s="18" t="str">
        <f>"Pest ctrl products - Haz"</f>
        <v>Pest ctrl products - Haz</v>
      </c>
      <c r="D34" s="18" t="s">
        <v>1895</v>
      </c>
    </row>
    <row r="35" spans="1:4">
      <c r="A35" s="18" t="s">
        <v>300</v>
      </c>
      <c r="B35" s="18" t="str">
        <f>"1100000000"</f>
        <v>1100000000</v>
      </c>
      <c r="C35" s="18" t="str">
        <f>"1100000000"</f>
        <v>1100000000</v>
      </c>
      <c r="D35" s="18" t="s">
        <v>1895</v>
      </c>
    </row>
    <row r="36" spans="1:4">
      <c r="A36" s="18" t="s">
        <v>300</v>
      </c>
      <c r="B36" s="18" t="str">
        <f>"1110000000"</f>
        <v>1110000000</v>
      </c>
      <c r="C36" s="18" t="str">
        <f>"Minerals &amp; ores &amp; metals"</f>
        <v>Minerals &amp; ores &amp; metals</v>
      </c>
      <c r="D36" s="18" t="s">
        <v>1895</v>
      </c>
    </row>
    <row r="37" spans="1:4">
      <c r="A37" s="18" t="s">
        <v>300</v>
      </c>
      <c r="B37" s="18" t="str">
        <f>"1110000080"</f>
        <v>1110000080</v>
      </c>
      <c r="C37" s="18" t="str">
        <f>"Minerals ores metals - Haz"</f>
        <v>Minerals ores metals - Haz</v>
      </c>
      <c r="D37" s="18" t="s">
        <v>1895</v>
      </c>
    </row>
    <row r="38" spans="1:4">
      <c r="A38" s="18" t="s">
        <v>300</v>
      </c>
      <c r="B38" s="18" t="str">
        <f>"1111000000"</f>
        <v>1111000000</v>
      </c>
      <c r="C38" s="18" t="str">
        <f>"Earth &amp; stone"</f>
        <v>Earth &amp; stone</v>
      </c>
      <c r="D38" s="18" t="s">
        <v>1895</v>
      </c>
    </row>
    <row r="39" spans="1:4">
      <c r="A39" s="18" t="s">
        <v>300</v>
      </c>
      <c r="B39" s="18" t="str">
        <f>"1112000000"</f>
        <v>1112000000</v>
      </c>
      <c r="C39" s="18" t="str">
        <f>"Non edible plant frstry prod"</f>
        <v>Non edible plant frstry prod</v>
      </c>
      <c r="D39" s="18" t="s">
        <v>1895</v>
      </c>
    </row>
    <row r="40" spans="1:4">
      <c r="A40" s="18" t="s">
        <v>300</v>
      </c>
      <c r="B40" s="18" t="str">
        <f>"1113000000"</f>
        <v>1113000000</v>
      </c>
      <c r="C40" s="18" t="str">
        <f>"Non edible animal products"</f>
        <v>Non edible animal products</v>
      </c>
      <c r="D40" s="18" t="s">
        <v>1895</v>
      </c>
    </row>
    <row r="41" spans="1:4">
      <c r="A41" s="18" t="s">
        <v>300</v>
      </c>
      <c r="B41" s="18" t="str">
        <f>"1113000080"</f>
        <v>1113000080</v>
      </c>
      <c r="C41" s="18" t="str">
        <f>"Non edible animal prods - Haz"</f>
        <v>Non edible animal prods - Haz</v>
      </c>
      <c r="D41" s="18" t="s">
        <v>1895</v>
      </c>
    </row>
    <row r="42" spans="1:4">
      <c r="A42" s="18" t="s">
        <v>300</v>
      </c>
      <c r="B42" s="18" t="str">
        <f>"1113000090"</f>
        <v>1113000090</v>
      </c>
      <c r="C42" s="18" t="str">
        <f>"Non edible animal pros - Grn"</f>
        <v>Non edible animal pros - Grn</v>
      </c>
      <c r="D42" s="18" t="s">
        <v>1895</v>
      </c>
    </row>
    <row r="43" spans="1:4">
      <c r="A43" s="18" t="s">
        <v>300</v>
      </c>
      <c r="B43" s="18" t="str">
        <f>"1114000000"</f>
        <v>1114000000</v>
      </c>
      <c r="C43" s="18" t="str">
        <f>"Scrap &amp; waste mtrls"</f>
        <v>Scrap &amp; waste mtrls</v>
      </c>
      <c r="D43" s="18" t="s">
        <v>1895</v>
      </c>
    </row>
    <row r="44" spans="1:4">
      <c r="A44" s="18" t="s">
        <v>300</v>
      </c>
      <c r="B44" s="18" t="str">
        <f>"1114000080"</f>
        <v>1114000080</v>
      </c>
      <c r="C44" s="18" t="str">
        <f>"Scrap &amp; waste mtrls - Haz"</f>
        <v>Scrap &amp; waste mtrls - Haz</v>
      </c>
      <c r="D44" s="18" t="s">
        <v>1895</v>
      </c>
    </row>
    <row r="45" spans="1:4">
      <c r="A45" s="18" t="s">
        <v>300</v>
      </c>
      <c r="B45" s="18" t="str">
        <f>"1114000090"</f>
        <v>1114000090</v>
      </c>
      <c r="C45" s="18" t="str">
        <f>"Scrap &amp; waste material - Grn"</f>
        <v>Scrap &amp; waste material - Grn</v>
      </c>
      <c r="D45" s="18" t="s">
        <v>1895</v>
      </c>
    </row>
    <row r="46" spans="1:4">
      <c r="A46" s="18" t="s">
        <v>300</v>
      </c>
      <c r="B46" s="18" t="str">
        <f>"1115000000"</f>
        <v>1115000000</v>
      </c>
      <c r="C46" s="18" t="str">
        <f>"Fibers &amp; threads &amp; yarns"</f>
        <v>Fibers &amp; threads &amp; yarns</v>
      </c>
      <c r="D46" s="18" t="s">
        <v>1895</v>
      </c>
    </row>
    <row r="47" spans="1:4">
      <c r="A47" s="18" t="s">
        <v>300</v>
      </c>
      <c r="B47" s="18" t="str">
        <f>"1115000080"</f>
        <v>1115000080</v>
      </c>
      <c r="C47" s="18" t="str">
        <f>"Fibers threads yarns - Haz"</f>
        <v>Fibers threads yarns - Haz</v>
      </c>
      <c r="D47" s="18" t="s">
        <v>1895</v>
      </c>
    </row>
    <row r="48" spans="1:4">
      <c r="A48" s="18" t="s">
        <v>300</v>
      </c>
      <c r="B48" s="18" t="str">
        <f>"1115000090"</f>
        <v>1115000090</v>
      </c>
      <c r="C48" s="18" t="str">
        <f>"Fibers threads yarns - Grn"</f>
        <v>Fibers threads yarns - Grn</v>
      </c>
      <c r="D48" s="18" t="s">
        <v>1895</v>
      </c>
    </row>
    <row r="49" spans="1:4">
      <c r="A49" s="18" t="s">
        <v>300</v>
      </c>
      <c r="B49" s="18" t="str">
        <f>"1116000000"</f>
        <v>1116000000</v>
      </c>
      <c r="C49" s="18" t="str">
        <f>"Fabrics &amp; leather mtrls"</f>
        <v>Fabrics &amp; leather mtrls</v>
      </c>
      <c r="D49" s="18" t="s">
        <v>1895</v>
      </c>
    </row>
    <row r="50" spans="1:4">
      <c r="A50" s="18" t="s">
        <v>300</v>
      </c>
      <c r="B50" s="18" t="str">
        <f>"1117000000"</f>
        <v>1117000000</v>
      </c>
      <c r="C50" s="18" t="str">
        <f>"Alloys"</f>
        <v>Alloys</v>
      </c>
      <c r="D50" s="18" t="s">
        <v>1895</v>
      </c>
    </row>
    <row r="51" spans="1:4">
      <c r="A51" s="18" t="s">
        <v>300</v>
      </c>
      <c r="B51" s="18" t="str">
        <f>"1117000080"</f>
        <v>1117000080</v>
      </c>
      <c r="C51" s="18" t="str">
        <f>"Alloys - Haz"</f>
        <v>Alloys - Haz</v>
      </c>
      <c r="D51" s="18" t="s">
        <v>1895</v>
      </c>
    </row>
    <row r="52" spans="1:4">
      <c r="A52" s="18" t="s">
        <v>300</v>
      </c>
      <c r="B52" s="18" t="str">
        <f>"1118000000"</f>
        <v>1118000000</v>
      </c>
      <c r="C52" s="18" t="str">
        <f>"Metal oxide"</f>
        <v>Metal oxide</v>
      </c>
      <c r="D52" s="18" t="s">
        <v>1895</v>
      </c>
    </row>
    <row r="53" spans="1:4">
      <c r="A53" s="18" t="s">
        <v>300</v>
      </c>
      <c r="B53" s="18" t="str">
        <f>"1118000080"</f>
        <v>1118000080</v>
      </c>
      <c r="C53" s="18" t="str">
        <f>"Metal oxide - Haz"</f>
        <v>Metal oxide - Haz</v>
      </c>
      <c r="D53" s="18" t="s">
        <v>1895</v>
      </c>
    </row>
    <row r="54" spans="1:4">
      <c r="A54" s="18" t="s">
        <v>300</v>
      </c>
      <c r="B54" s="18" t="str">
        <f>"1119000000"</f>
        <v>1119000000</v>
      </c>
      <c r="C54" s="18" t="str">
        <f>"Metal waste &amp; scrap"</f>
        <v>Metal waste &amp; scrap</v>
      </c>
      <c r="D54" s="18" t="s">
        <v>1895</v>
      </c>
    </row>
    <row r="55" spans="1:4">
      <c r="A55" s="18" t="s">
        <v>300</v>
      </c>
      <c r="B55" s="18" t="str">
        <f>"1119000080"</f>
        <v>1119000080</v>
      </c>
      <c r="C55" s="18" t="str">
        <f>"Metal waste &amp; scrap - Haz"</f>
        <v>Metal waste &amp; scrap - Haz</v>
      </c>
      <c r="D55" s="18" t="s">
        <v>1895</v>
      </c>
    </row>
    <row r="56" spans="1:4">
      <c r="A56" s="18" t="s">
        <v>300</v>
      </c>
      <c r="B56" s="18" t="str">
        <f>"1200000000"</f>
        <v>1200000000</v>
      </c>
      <c r="C56" s="18" t="str">
        <f>"1200000000"</f>
        <v>1200000000</v>
      </c>
      <c r="D56" s="18" t="s">
        <v>1895</v>
      </c>
    </row>
    <row r="57" spans="1:4">
      <c r="A57" s="18" t="s">
        <v>300</v>
      </c>
      <c r="B57" s="18" t="str">
        <f>"1213000000"</f>
        <v>1213000000</v>
      </c>
      <c r="C57" s="18" t="str">
        <f>"1213000000"</f>
        <v>1213000000</v>
      </c>
      <c r="D57" s="18" t="s">
        <v>1895</v>
      </c>
    </row>
    <row r="58" spans="1:4">
      <c r="A58" s="18" t="s">
        <v>300</v>
      </c>
      <c r="B58" s="18" t="str">
        <f>"1213000080"</f>
        <v>1213000080</v>
      </c>
      <c r="C58" s="18" t="str">
        <f>"Explosive mtrls - Haz"</f>
        <v>Explosive mtrls - Haz</v>
      </c>
      <c r="D58" s="18" t="s">
        <v>1895</v>
      </c>
    </row>
    <row r="59" spans="1:4">
      <c r="A59" s="18" t="s">
        <v>300</v>
      </c>
      <c r="B59" s="18" t="str">
        <f>"1214000000"</f>
        <v>1214000000</v>
      </c>
      <c r="C59" s="18" t="str">
        <f>"Elements &amp; gases"</f>
        <v>Elements &amp; gases</v>
      </c>
      <c r="D59" s="18" t="s">
        <v>1895</v>
      </c>
    </row>
    <row r="60" spans="1:4">
      <c r="A60" s="18" t="s">
        <v>300</v>
      </c>
      <c r="B60" s="18" t="str">
        <f>"1214000080"</f>
        <v>1214000080</v>
      </c>
      <c r="C60" s="18" t="str">
        <f>"Elements &amp; gases - Haz"</f>
        <v>Elements &amp; gases - Haz</v>
      </c>
      <c r="D60" s="18" t="s">
        <v>1895</v>
      </c>
    </row>
    <row r="61" spans="1:4">
      <c r="A61" s="18" t="s">
        <v>300</v>
      </c>
      <c r="B61" s="18" t="str">
        <f>"1216000000"</f>
        <v>1216000000</v>
      </c>
      <c r="C61" s="18" t="str">
        <f>"Additives"</f>
        <v>Additives</v>
      </c>
      <c r="D61" s="18" t="s">
        <v>1895</v>
      </c>
    </row>
    <row r="62" spans="1:4">
      <c r="A62" s="18" t="s">
        <v>300</v>
      </c>
      <c r="B62" s="18" t="str">
        <f>"1216000080"</f>
        <v>1216000080</v>
      </c>
      <c r="C62" s="18" t="str">
        <f>"Additives - Haz"</f>
        <v>Additives - Haz</v>
      </c>
      <c r="D62" s="18" t="s">
        <v>1895</v>
      </c>
    </row>
    <row r="63" spans="1:4">
      <c r="A63" s="18" t="s">
        <v>300</v>
      </c>
      <c r="B63" s="18" t="str">
        <f>"1217000000"</f>
        <v>1217000000</v>
      </c>
      <c r="C63" s="18" t="str">
        <f>"Colorants"</f>
        <v>Colorants</v>
      </c>
      <c r="D63" s="18" t="s">
        <v>1895</v>
      </c>
    </row>
    <row r="64" spans="1:4">
      <c r="A64" s="18" t="s">
        <v>300</v>
      </c>
      <c r="B64" s="18" t="str">
        <f>"1217000080"</f>
        <v>1217000080</v>
      </c>
      <c r="C64" s="18" t="str">
        <f>"Colorants - Haz"</f>
        <v>Colorants - Haz</v>
      </c>
      <c r="D64" s="18" t="s">
        <v>1895</v>
      </c>
    </row>
    <row r="65" spans="1:4">
      <c r="A65" s="18" t="s">
        <v>300</v>
      </c>
      <c r="B65" s="18" t="str">
        <f>"1218000000"</f>
        <v>1218000000</v>
      </c>
      <c r="C65" s="18" t="str">
        <f>"Waxes &amp; oils"</f>
        <v>Waxes &amp; oils</v>
      </c>
      <c r="D65" s="18" t="s">
        <v>1895</v>
      </c>
    </row>
    <row r="66" spans="1:4">
      <c r="A66" s="18" t="s">
        <v>300</v>
      </c>
      <c r="B66" s="18" t="str">
        <f>"1218000080"</f>
        <v>1218000080</v>
      </c>
      <c r="C66" s="18" t="str">
        <f>"Waxes &amp; oils - Haz"</f>
        <v>Waxes &amp; oils - Haz</v>
      </c>
      <c r="D66" s="18" t="s">
        <v>1895</v>
      </c>
    </row>
    <row r="67" spans="1:4">
      <c r="A67" s="18" t="s">
        <v>300</v>
      </c>
      <c r="B67" s="18" t="str">
        <f>"1219000000"</f>
        <v>1219000000</v>
      </c>
      <c r="C67" s="18" t="str">
        <f>"Solvents"</f>
        <v>Solvents</v>
      </c>
      <c r="D67" s="18" t="s">
        <v>1895</v>
      </c>
    </row>
    <row r="68" spans="1:4">
      <c r="A68" s="18" t="s">
        <v>300</v>
      </c>
      <c r="B68" s="18" t="str">
        <f>"1219000080"</f>
        <v>1219000080</v>
      </c>
      <c r="C68" s="18" t="str">
        <f>"Solvents - Haz"</f>
        <v>Solvents - Haz</v>
      </c>
      <c r="D68" s="18" t="s">
        <v>1895</v>
      </c>
    </row>
    <row r="69" spans="1:4">
      <c r="A69" s="18" t="s">
        <v>300</v>
      </c>
      <c r="B69" s="18" t="str">
        <f>"1235000000"</f>
        <v>1235000000</v>
      </c>
      <c r="C69" s="18" t="str">
        <f>"Compounds &amp; mixtures"</f>
        <v>Compounds &amp; mixtures</v>
      </c>
      <c r="D69" s="18" t="s">
        <v>1895</v>
      </c>
    </row>
    <row r="70" spans="1:4">
      <c r="A70" s="18" t="s">
        <v>300</v>
      </c>
      <c r="B70" s="18" t="str">
        <f>"1235000080"</f>
        <v>1235000080</v>
      </c>
      <c r="C70" s="18" t="str">
        <f>"Compounds &amp; mixtures - Haz"</f>
        <v>Compounds &amp; mixtures - Haz</v>
      </c>
      <c r="D70" s="18" t="s">
        <v>1895</v>
      </c>
    </row>
    <row r="71" spans="1:4">
      <c r="A71" s="18" t="s">
        <v>300</v>
      </c>
      <c r="B71" s="18" t="str">
        <f>"1300000000"</f>
        <v>1300000000</v>
      </c>
      <c r="C71" s="18" t="str">
        <f>"1300000000"</f>
        <v>1300000000</v>
      </c>
      <c r="D71" s="18" t="s">
        <v>1895</v>
      </c>
    </row>
    <row r="72" spans="1:4">
      <c r="A72" s="18" t="s">
        <v>300</v>
      </c>
      <c r="B72" s="18" t="str">
        <f>"1310000000"</f>
        <v>1310000000</v>
      </c>
      <c r="C72" s="18" t="str">
        <f>"Rubber &amp; elastomers"</f>
        <v>Rubber &amp; elastomers</v>
      </c>
      <c r="D72" s="18" t="s">
        <v>1895</v>
      </c>
    </row>
    <row r="73" spans="1:4">
      <c r="A73" s="18" t="s">
        <v>300</v>
      </c>
      <c r="B73" s="18" t="str">
        <f>"1310000080"</f>
        <v>1310000080</v>
      </c>
      <c r="C73" s="18" t="str">
        <f>"Rubber &amp; elastomers - Haz"</f>
        <v>Rubber &amp; elastomers - Haz</v>
      </c>
      <c r="D73" s="18" t="s">
        <v>1895</v>
      </c>
    </row>
    <row r="74" spans="1:4">
      <c r="A74" s="18" t="s">
        <v>300</v>
      </c>
      <c r="B74" s="18" t="str">
        <f>"1311000000"</f>
        <v>1311000000</v>
      </c>
      <c r="C74" s="18" t="str">
        <f>"Resins rosins &amp; derived mtrl"</f>
        <v>Resins rosins &amp; derived mtrl</v>
      </c>
      <c r="D74" s="18" t="s">
        <v>1895</v>
      </c>
    </row>
    <row r="75" spans="1:4">
      <c r="A75" s="18" t="s">
        <v>300</v>
      </c>
      <c r="B75" s="18" t="str">
        <f>"1311000080"</f>
        <v>1311000080</v>
      </c>
      <c r="C75" s="18" t="str">
        <f>"Resins rosins &amp; derived - Haz"</f>
        <v>Resins rosins &amp; derived - Haz</v>
      </c>
      <c r="D75" s="18" t="s">
        <v>1895</v>
      </c>
    </row>
    <row r="76" spans="1:4">
      <c r="A76" s="18" t="s">
        <v>300</v>
      </c>
      <c r="B76" s="18" t="str">
        <f>"1400000000"</f>
        <v>1400000000</v>
      </c>
      <c r="C76" s="18" t="str">
        <f>"1400000000"</f>
        <v>1400000000</v>
      </c>
      <c r="D76" s="18" t="s">
        <v>1895</v>
      </c>
    </row>
    <row r="77" spans="1:4">
      <c r="A77" s="18" t="s">
        <v>300</v>
      </c>
      <c r="B77" s="18" t="str">
        <f>"1410000000"</f>
        <v>1410000000</v>
      </c>
      <c r="C77" s="18" t="str">
        <f>"Paper mtrls"</f>
        <v>Paper mtrls</v>
      </c>
      <c r="D77" s="18" t="s">
        <v>1895</v>
      </c>
    </row>
    <row r="78" spans="1:4">
      <c r="A78" s="18" t="s">
        <v>300</v>
      </c>
      <c r="B78" s="18" t="str">
        <f>"1410000090"</f>
        <v>1410000090</v>
      </c>
      <c r="C78" s="18" t="str">
        <f>"Paper mtrls - Grn"</f>
        <v>Paper mtrls - Grn</v>
      </c>
      <c r="D78" s="18" t="s">
        <v>1895</v>
      </c>
    </row>
    <row r="79" spans="1:4">
      <c r="A79" s="18" t="s">
        <v>300</v>
      </c>
      <c r="B79" s="18" t="str">
        <f>"1411000000"</f>
        <v>1411000000</v>
      </c>
      <c r="C79" s="18" t="str">
        <f>"Paper products"</f>
        <v>Paper products</v>
      </c>
      <c r="D79" s="18" t="s">
        <v>1895</v>
      </c>
    </row>
    <row r="80" spans="1:4">
      <c r="A80" s="18" t="s">
        <v>300</v>
      </c>
      <c r="B80" s="18" t="str">
        <f>"1411000090"</f>
        <v>1411000090</v>
      </c>
      <c r="C80" s="18" t="str">
        <f>"Paper products - Grn"</f>
        <v>Paper products - Grn</v>
      </c>
      <c r="D80" s="18" t="s">
        <v>1895</v>
      </c>
    </row>
    <row r="81" spans="1:4">
      <c r="A81" s="18" t="s">
        <v>300</v>
      </c>
      <c r="B81" s="18" t="str">
        <f>"1412000000"</f>
        <v>1412000000</v>
      </c>
      <c r="C81" s="18" t="str">
        <f>"indstrl use papers"</f>
        <v>indstrl use papers</v>
      </c>
      <c r="D81" s="18" t="s">
        <v>1895</v>
      </c>
    </row>
    <row r="82" spans="1:4">
      <c r="A82" s="18" t="s">
        <v>300</v>
      </c>
      <c r="B82" s="18" t="str">
        <f>"1412000090"</f>
        <v>1412000090</v>
      </c>
      <c r="C82" s="18" t="str">
        <f>"indstrl use papers - Grn"</f>
        <v>indstrl use papers - Grn</v>
      </c>
      <c r="D82" s="18" t="s">
        <v>1895</v>
      </c>
    </row>
    <row r="83" spans="1:4">
      <c r="A83" s="18" t="s">
        <v>300</v>
      </c>
      <c r="B83" s="18" t="str">
        <f>"1500000000"</f>
        <v>1500000000</v>
      </c>
      <c r="C83" s="18" t="str">
        <f>"1500000000"</f>
        <v>1500000000</v>
      </c>
      <c r="D83" s="18" t="s">
        <v>1895</v>
      </c>
    </row>
    <row r="84" spans="1:4">
      <c r="A84" s="18" t="s">
        <v>300</v>
      </c>
      <c r="B84" s="18" t="str">
        <f>"1510000000"</f>
        <v>1510000000</v>
      </c>
      <c r="C84" s="18" t="str">
        <f>"Fuels"</f>
        <v>Fuels</v>
      </c>
      <c r="D84" s="18" t="s">
        <v>1895</v>
      </c>
    </row>
    <row r="85" spans="1:4">
      <c r="A85" s="18" t="s">
        <v>300</v>
      </c>
      <c r="B85" s="18" t="str">
        <f>"1511000000"</f>
        <v>1511000000</v>
      </c>
      <c r="C85" s="18" t="str">
        <f>"Gaseous fuels &amp; additives"</f>
        <v>Gaseous fuels &amp; additives</v>
      </c>
      <c r="D85" s="18" t="s">
        <v>1895</v>
      </c>
    </row>
    <row r="86" spans="1:4">
      <c r="A86" s="18" t="s">
        <v>300</v>
      </c>
      <c r="B86" s="18" t="str">
        <f>"1511000080"</f>
        <v>1511000080</v>
      </c>
      <c r="C86" s="18" t="str">
        <f>"Gaseous fuels additives - Haz"</f>
        <v>Gaseous fuels additives - Haz</v>
      </c>
      <c r="D86" s="18" t="s">
        <v>1895</v>
      </c>
    </row>
    <row r="87" spans="1:4">
      <c r="A87" s="18" t="s">
        <v>300</v>
      </c>
      <c r="B87" s="18" t="str">
        <f>"1511000090"</f>
        <v>1511000090</v>
      </c>
      <c r="C87" s="18" t="str">
        <f>"Gaseous fuels additives - Grn"</f>
        <v>Gaseous fuels additives - Grn</v>
      </c>
      <c r="D87" s="18" t="s">
        <v>1895</v>
      </c>
    </row>
    <row r="88" spans="1:4">
      <c r="A88" s="18" t="s">
        <v>300</v>
      </c>
      <c r="B88" s="18" t="str">
        <f>"1512000000"</f>
        <v>1512000000</v>
      </c>
      <c r="C88" s="18" t="str">
        <f>"Lubricants, oil, grease"</f>
        <v>Lubricants, oil, grease</v>
      </c>
      <c r="D88" s="18" t="s">
        <v>1895</v>
      </c>
    </row>
    <row r="89" spans="1:4">
      <c r="A89" s="18" t="s">
        <v>300</v>
      </c>
      <c r="B89" s="18" t="str">
        <f>"1512000080"</f>
        <v>1512000080</v>
      </c>
      <c r="C89" s="18" t="str">
        <f>"Lubricants, oil, grease - Haz"</f>
        <v>Lubricants, oil, grease - Haz</v>
      </c>
      <c r="D89" s="18" t="s">
        <v>1895</v>
      </c>
    </row>
    <row r="90" spans="1:4">
      <c r="A90" s="18" t="s">
        <v>300</v>
      </c>
      <c r="B90" s="18" t="str">
        <f>"1512000090"</f>
        <v>1512000090</v>
      </c>
      <c r="C90" s="18" t="str">
        <f>"Lubricants, oil, grease - Grn"</f>
        <v>Lubricants, oil, grease - Grn</v>
      </c>
      <c r="D90" s="18" t="s">
        <v>1895</v>
      </c>
    </row>
    <row r="91" spans="1:4">
      <c r="A91" s="18" t="s">
        <v>300</v>
      </c>
      <c r="B91" s="18" t="str">
        <f>"1513000000"</f>
        <v>1513000000</v>
      </c>
      <c r="C91" s="18" t="str">
        <f>"Fuel, nuclear reactors"</f>
        <v>Fuel, nuclear reactors</v>
      </c>
      <c r="D91" s="18" t="s">
        <v>1895</v>
      </c>
    </row>
    <row r="92" spans="1:4">
      <c r="A92" s="18" t="s">
        <v>300</v>
      </c>
      <c r="B92" s="18" t="str">
        <f>"1513000080"</f>
        <v>1513000080</v>
      </c>
      <c r="C92" s="18" t="str">
        <f>"Fuel, nuclear reactors - Haz"</f>
        <v>Fuel, nuclear reactors - Haz</v>
      </c>
      <c r="D92" s="18" t="s">
        <v>1895</v>
      </c>
    </row>
    <row r="93" spans="1:4">
      <c r="A93" s="18" t="s">
        <v>300</v>
      </c>
      <c r="B93" s="18" t="str">
        <f>"2000"</f>
        <v>2000</v>
      </c>
      <c r="C93" s="18" t="str">
        <f>"2000"</f>
        <v>2000</v>
      </c>
      <c r="D93" s="18" t="s">
        <v>1895</v>
      </c>
    </row>
    <row r="94" spans="1:4">
      <c r="A94" s="18" t="s">
        <v>300</v>
      </c>
      <c r="B94" s="18" t="str">
        <f>"2000000000"</f>
        <v>2000000000</v>
      </c>
      <c r="C94" s="18" t="str">
        <f>"2000000000"</f>
        <v>2000000000</v>
      </c>
      <c r="D94" s="18" t="s">
        <v>1895</v>
      </c>
    </row>
    <row r="95" spans="1:4">
      <c r="A95" s="18" t="s">
        <v>300</v>
      </c>
      <c r="B95" s="18" t="str">
        <f>"2010000000"</f>
        <v>2010000000</v>
      </c>
      <c r="C95" s="18" t="str">
        <f>"Mining machy equip"</f>
        <v>Mining machy equip</v>
      </c>
      <c r="D95" s="18" t="s">
        <v>1895</v>
      </c>
    </row>
    <row r="96" spans="1:4">
      <c r="A96" s="18" t="s">
        <v>300</v>
      </c>
      <c r="B96" s="18" t="str">
        <f>"2010000080"</f>
        <v>2010000080</v>
      </c>
      <c r="C96" s="18" t="str">
        <f>"Mining equip - Haz"</f>
        <v>Mining equip - Haz</v>
      </c>
      <c r="D96" s="18" t="s">
        <v>1895</v>
      </c>
    </row>
    <row r="97" spans="1:4">
      <c r="A97" s="18" t="s">
        <v>300</v>
      </c>
      <c r="B97" s="18" t="str">
        <f>"2011000000"</f>
        <v>2011000000</v>
      </c>
      <c r="C97" s="18" t="str">
        <f>"Well drilling equip"</f>
        <v>Well drilling equip</v>
      </c>
      <c r="D97" s="18" t="s">
        <v>1895</v>
      </c>
    </row>
    <row r="98" spans="1:4">
      <c r="A98" s="18" t="s">
        <v>300</v>
      </c>
      <c r="B98" s="18" t="str">
        <f>"2011000080"</f>
        <v>2011000080</v>
      </c>
      <c r="C98" s="18" t="str">
        <f>"Well drilling equip - Haz"</f>
        <v>Well drilling equip - Haz</v>
      </c>
      <c r="D98" s="18" t="s">
        <v>1895</v>
      </c>
    </row>
    <row r="99" spans="1:4">
      <c r="A99" s="18" t="s">
        <v>300</v>
      </c>
      <c r="B99" s="18" t="str">
        <f>"2012000000"</f>
        <v>2012000000</v>
      </c>
      <c r="C99" s="18" t="str">
        <f>"Oil &amp; gas drilling equip"</f>
        <v>Oil &amp; gas drilling equip</v>
      </c>
      <c r="D99" s="18" t="s">
        <v>1895</v>
      </c>
    </row>
    <row r="100" spans="1:4">
      <c r="A100" s="18" t="s">
        <v>300</v>
      </c>
      <c r="B100" s="18" t="str">
        <f>"2012000080"</f>
        <v>2012000080</v>
      </c>
      <c r="C100" s="18" t="str">
        <f>"Oil &amp; gas drilling equip - Haz"</f>
        <v>Oil &amp; gas drilling equip - Haz</v>
      </c>
      <c r="D100" s="18" t="s">
        <v>1895</v>
      </c>
    </row>
    <row r="101" spans="1:4">
      <c r="A101" s="18" t="s">
        <v>300</v>
      </c>
      <c r="B101" s="18" t="str">
        <f>"2013000000"</f>
        <v>2013000000</v>
      </c>
      <c r="C101" s="18" t="str">
        <f>"Oil &amp; gas drilling mtrls"</f>
        <v>Oil &amp; gas drilling mtrls</v>
      </c>
      <c r="D101" s="18" t="s">
        <v>1895</v>
      </c>
    </row>
    <row r="102" spans="1:4">
      <c r="A102" s="18" t="s">
        <v>300</v>
      </c>
      <c r="B102" s="18" t="str">
        <f>"2013000080"</f>
        <v>2013000080</v>
      </c>
      <c r="C102" s="18" t="str">
        <f>"Oil &amp; gas drilling mtrls - Haz"</f>
        <v>Oil &amp; gas drilling mtrls - Haz</v>
      </c>
      <c r="D102" s="18" t="s">
        <v>1895</v>
      </c>
    </row>
    <row r="103" spans="1:4">
      <c r="A103" s="18" t="s">
        <v>300</v>
      </c>
      <c r="B103" s="18" t="str">
        <f>"2014000000"</f>
        <v>2014000000</v>
      </c>
      <c r="C103" s="18" t="str">
        <f>"Oil &amp; gas prodn equip"</f>
        <v>Oil &amp; gas prodn equip</v>
      </c>
      <c r="D103" s="18" t="s">
        <v>1895</v>
      </c>
    </row>
    <row r="104" spans="1:4">
      <c r="A104" s="18" t="s">
        <v>300</v>
      </c>
      <c r="B104" s="18" t="str">
        <f>"2014000080"</f>
        <v>2014000080</v>
      </c>
      <c r="C104" s="18" t="str">
        <f>"Oil &amp; gas prodn equip - Haz"</f>
        <v>Oil &amp; gas prodn equip - Haz</v>
      </c>
      <c r="D104" s="18" t="s">
        <v>1895</v>
      </c>
    </row>
    <row r="105" spans="1:4">
      <c r="A105" s="18" t="s">
        <v>300</v>
      </c>
      <c r="B105" s="18" t="str">
        <f>"2100000000"</f>
        <v>2100000000</v>
      </c>
      <c r="C105" s="18" t="str">
        <f>"2100000000"</f>
        <v>2100000000</v>
      </c>
      <c r="D105" s="18" t="s">
        <v>1895</v>
      </c>
    </row>
    <row r="106" spans="1:4">
      <c r="A106" s="18" t="s">
        <v>300</v>
      </c>
      <c r="B106" s="18" t="str">
        <f>"2110000000"</f>
        <v>2110000000</v>
      </c>
      <c r="C106" s="18" t="str">
        <f>"Agrcltl, lndscp equip"</f>
        <v>Agrcltl, lndscp equip</v>
      </c>
      <c r="D106" s="18" t="s">
        <v>1895</v>
      </c>
    </row>
    <row r="107" spans="1:4">
      <c r="A107" s="18" t="s">
        <v>300</v>
      </c>
      <c r="B107" s="18" t="str">
        <f>"2110000080"</f>
        <v>2110000080</v>
      </c>
      <c r="C107" s="18" t="str">
        <f>"Agrcltl, lndscp equip - Haz"</f>
        <v>Agrcltl, lndscp equip - Haz</v>
      </c>
      <c r="D107" s="18" t="s">
        <v>1895</v>
      </c>
    </row>
    <row r="108" spans="1:4">
      <c r="A108" s="18" t="s">
        <v>300</v>
      </c>
      <c r="B108" s="18" t="str">
        <f>"2111000000"</f>
        <v>2111000000</v>
      </c>
      <c r="C108" s="18" t="str">
        <f>"fshng, aquaculture equip"</f>
        <v>fshng, aquaculture equip</v>
      </c>
      <c r="D108" s="18" t="s">
        <v>1895</v>
      </c>
    </row>
    <row r="109" spans="1:4">
      <c r="A109" s="18" t="s">
        <v>300</v>
      </c>
      <c r="B109" s="18" t="str">
        <f>"2111000080"</f>
        <v>2111000080</v>
      </c>
      <c r="C109" s="18" t="str">
        <f>"fshng, aquaculture equip - Haz"</f>
        <v>fshng, aquaculture equip - Haz</v>
      </c>
      <c r="D109" s="18" t="s">
        <v>1895</v>
      </c>
    </row>
    <row r="110" spans="1:4">
      <c r="A110" s="18" t="s">
        <v>300</v>
      </c>
      <c r="B110" s="18" t="str">
        <f>"2200000000"</f>
        <v>2200000000</v>
      </c>
      <c r="C110" s="18" t="str">
        <f>"2200000000"</f>
        <v>2200000000</v>
      </c>
      <c r="D110" s="18" t="s">
        <v>1895</v>
      </c>
    </row>
    <row r="111" spans="1:4">
      <c r="A111" s="18" t="s">
        <v>300</v>
      </c>
      <c r="B111" s="18" t="str">
        <f>"2210000000"</f>
        <v>2210000000</v>
      </c>
      <c r="C111" s="18" t="str">
        <f>"Heavy constrctn equip"</f>
        <v>Heavy constrctn equip</v>
      </c>
      <c r="D111" s="18" t="s">
        <v>1895</v>
      </c>
    </row>
    <row r="112" spans="1:4">
      <c r="A112" s="18" t="s">
        <v>300</v>
      </c>
      <c r="B112" s="18" t="str">
        <f>"2210000080"</f>
        <v>2210000080</v>
      </c>
      <c r="C112" s="18" t="str">
        <f>"Heavy constrctn equip - Haz"</f>
        <v>Heavy constrctn equip - Haz</v>
      </c>
      <c r="D112" s="18" t="s">
        <v>1895</v>
      </c>
    </row>
    <row r="113" spans="1:4">
      <c r="A113" s="18" t="s">
        <v>300</v>
      </c>
      <c r="B113" s="18" t="str">
        <f>"2300000000"</f>
        <v>2300000000</v>
      </c>
      <c r="C113" s="18" t="str">
        <f>"2300000000"</f>
        <v>2300000000</v>
      </c>
      <c r="D113" s="18" t="s">
        <v>1895</v>
      </c>
    </row>
    <row r="114" spans="1:4">
      <c r="A114" s="18" t="s">
        <v>300</v>
      </c>
      <c r="B114" s="18" t="str">
        <f>"2310000000"</f>
        <v>2310000000</v>
      </c>
      <c r="C114" s="18" t="str">
        <f>"Mtrls processing machy"</f>
        <v>Mtrls processing machy</v>
      </c>
      <c r="D114" s="18" t="s">
        <v>1895</v>
      </c>
    </row>
    <row r="115" spans="1:4">
      <c r="A115" s="18" t="s">
        <v>300</v>
      </c>
      <c r="B115" s="18" t="str">
        <f>"2310000080"</f>
        <v>2310000080</v>
      </c>
      <c r="C115" s="18" t="str">
        <f>"Mtrls processing machy - Haz"</f>
        <v>Mtrls processing machy - Haz</v>
      </c>
      <c r="D115" s="18" t="s">
        <v>1895</v>
      </c>
    </row>
    <row r="116" spans="1:4">
      <c r="A116" s="18" t="s">
        <v>300</v>
      </c>
      <c r="B116" s="18" t="str">
        <f>"2311000000"</f>
        <v>2311000000</v>
      </c>
      <c r="C116" s="18" t="str">
        <f>"Petroleum machy"</f>
        <v>Petroleum machy</v>
      </c>
      <c r="D116" s="18" t="s">
        <v>1895</v>
      </c>
    </row>
    <row r="117" spans="1:4">
      <c r="A117" s="18" t="s">
        <v>300</v>
      </c>
      <c r="B117" s="18" t="str">
        <f>"2311000080"</f>
        <v>2311000080</v>
      </c>
      <c r="C117" s="18" t="str">
        <f>"Petroleum machy - Haz"</f>
        <v>Petroleum machy - Haz</v>
      </c>
      <c r="D117" s="18" t="s">
        <v>1895</v>
      </c>
    </row>
    <row r="118" spans="1:4">
      <c r="A118" s="18" t="s">
        <v>300</v>
      </c>
      <c r="B118" s="18" t="str">
        <f>"2312000000"</f>
        <v>2312000000</v>
      </c>
      <c r="C118" s="18" t="str">
        <f>"Textile &amp; fabric machy"</f>
        <v>Textile &amp; fabric machy</v>
      </c>
      <c r="D118" s="18" t="s">
        <v>1895</v>
      </c>
    </row>
    <row r="119" spans="1:4">
      <c r="A119" s="18" t="s">
        <v>300</v>
      </c>
      <c r="B119" s="18" t="str">
        <f>"2312000080"</f>
        <v>2312000080</v>
      </c>
      <c r="C119" s="18" t="str">
        <f>"Textile &amp; fabric machy - Haz"</f>
        <v>Textile &amp; fabric machy - Haz</v>
      </c>
      <c r="D119" s="18" t="s">
        <v>1895</v>
      </c>
    </row>
    <row r="120" spans="1:4">
      <c r="A120" s="18" t="s">
        <v>300</v>
      </c>
      <c r="B120" s="18" t="str">
        <f>"2313000000"</f>
        <v>2313000000</v>
      </c>
      <c r="C120" s="18" t="str">
        <f>"Lapidary equip"</f>
        <v>Lapidary equip</v>
      </c>
      <c r="D120" s="18" t="s">
        <v>1895</v>
      </c>
    </row>
    <row r="121" spans="1:4">
      <c r="A121" s="18" t="s">
        <v>300</v>
      </c>
      <c r="B121" s="18" t="str">
        <f>"2313000080"</f>
        <v>2313000080</v>
      </c>
      <c r="C121" s="18" t="str">
        <f>"Lapidary equip - Haz"</f>
        <v>Lapidary equip - Haz</v>
      </c>
      <c r="D121" s="18" t="s">
        <v>1895</v>
      </c>
    </row>
    <row r="122" spans="1:4">
      <c r="A122" s="18" t="s">
        <v>300</v>
      </c>
      <c r="B122" s="18" t="str">
        <f>"2314000000"</f>
        <v>2314000000</v>
      </c>
      <c r="C122" s="18" t="str">
        <f>"Leather repair equip"</f>
        <v>Leather repair equip</v>
      </c>
      <c r="D122" s="18" t="s">
        <v>1895</v>
      </c>
    </row>
    <row r="123" spans="1:4">
      <c r="A123" s="18" t="s">
        <v>300</v>
      </c>
      <c r="B123" s="18" t="str">
        <f>"2314000080"</f>
        <v>2314000080</v>
      </c>
      <c r="C123" s="18" t="str">
        <f>"Leather repair equip - Haz"</f>
        <v>Leather repair equip - Haz</v>
      </c>
      <c r="D123" s="18" t="s">
        <v>1895</v>
      </c>
    </row>
    <row r="124" spans="1:4">
      <c r="A124" s="18" t="s">
        <v>300</v>
      </c>
      <c r="B124" s="18" t="str">
        <f>"2315000000"</f>
        <v>2315000000</v>
      </c>
      <c r="C124" s="18" t="str">
        <f>"indstrl equip &amp; supplies"</f>
        <v>indstrl equip &amp; supplies</v>
      </c>
      <c r="D124" s="18" t="s">
        <v>1895</v>
      </c>
    </row>
    <row r="125" spans="1:4">
      <c r="A125" s="18" t="s">
        <v>300</v>
      </c>
      <c r="B125" s="18" t="str">
        <f>"2315000080"</f>
        <v>2315000080</v>
      </c>
      <c r="C125" s="18" t="str">
        <f>"indstrl equip &amp; supplies - Haz"</f>
        <v>indstrl equip &amp; supplies - Haz</v>
      </c>
      <c r="D125" s="18" t="s">
        <v>1895</v>
      </c>
    </row>
    <row r="126" spans="1:4">
      <c r="A126" s="18" t="s">
        <v>300</v>
      </c>
      <c r="B126" s="18" t="str">
        <f>"2316000000"</f>
        <v>2316000000</v>
      </c>
      <c r="C126" s="18" t="str">
        <f>"Foundry equip"</f>
        <v>Foundry equip</v>
      </c>
      <c r="D126" s="18" t="s">
        <v>1895</v>
      </c>
    </row>
    <row r="127" spans="1:4">
      <c r="A127" s="18" t="s">
        <v>300</v>
      </c>
      <c r="B127" s="18" t="str">
        <f>"2316000080"</f>
        <v>2316000080</v>
      </c>
      <c r="C127" s="18" t="str">
        <f>"Foundry equip - Haz"</f>
        <v>Foundry equip - Haz</v>
      </c>
      <c r="D127" s="18" t="s">
        <v>1895</v>
      </c>
    </row>
    <row r="128" spans="1:4">
      <c r="A128" s="18" t="s">
        <v>300</v>
      </c>
      <c r="B128" s="18" t="str">
        <f>"2318000000"</f>
        <v>2318000000</v>
      </c>
      <c r="C128" s="18" t="str">
        <f>"indstrl food &amp; beverage equip"</f>
        <v>indstrl food &amp; beverage equip</v>
      </c>
      <c r="D128" s="18" t="s">
        <v>1895</v>
      </c>
    </row>
    <row r="129" spans="1:4">
      <c r="A129" s="18" t="s">
        <v>300</v>
      </c>
      <c r="B129" s="18" t="str">
        <f>"2319000000"</f>
        <v>2319000000</v>
      </c>
      <c r="C129" s="18" t="str">
        <f>"Mixers &amp; their parts &amp; accssrs"</f>
        <v>Mixers &amp; their parts &amp; accssrs</v>
      </c>
      <c r="D129" s="18" t="s">
        <v>1895</v>
      </c>
    </row>
    <row r="130" spans="1:4">
      <c r="A130" s="18" t="s">
        <v>300</v>
      </c>
      <c r="B130" s="18" t="str">
        <f>"2320000000"</f>
        <v>2320000000</v>
      </c>
      <c r="C130" s="18" t="str">
        <f>"Mass transfer equip"</f>
        <v>Mass transfer equip</v>
      </c>
      <c r="D130" s="18" t="s">
        <v>1895</v>
      </c>
    </row>
    <row r="131" spans="1:4">
      <c r="A131" s="18" t="s">
        <v>300</v>
      </c>
      <c r="B131" s="18" t="str">
        <f>"2320000080"</f>
        <v>2320000080</v>
      </c>
      <c r="C131" s="18" t="str">
        <f>"Mass transfer equip - Haz"</f>
        <v>Mass transfer equip - Haz</v>
      </c>
      <c r="D131" s="18" t="s">
        <v>1895</v>
      </c>
    </row>
    <row r="132" spans="1:4">
      <c r="A132" s="18" t="s">
        <v>300</v>
      </c>
      <c r="B132" s="18" t="str">
        <f>"2321000000"</f>
        <v>2321000000</v>
      </c>
      <c r="C132" s="18" t="str">
        <f>"Electronic mfg equip"</f>
        <v>Electronic mfg equip</v>
      </c>
      <c r="D132" s="18" t="s">
        <v>1895</v>
      </c>
    </row>
    <row r="133" spans="1:4">
      <c r="A133" s="18" t="s">
        <v>300</v>
      </c>
      <c r="B133" s="18" t="str">
        <f>"2321000080"</f>
        <v>2321000080</v>
      </c>
      <c r="C133" s="18" t="str">
        <f>"Electronic mfg equip - Haz"</f>
        <v>Electronic mfg equip - Haz</v>
      </c>
      <c r="D133" s="18" t="s">
        <v>1895</v>
      </c>
    </row>
    <row r="134" spans="1:4">
      <c r="A134" s="18" t="s">
        <v>300</v>
      </c>
      <c r="B134" s="18" t="str">
        <f>"2322000000"</f>
        <v>2322000000</v>
      </c>
      <c r="C134" s="18" t="str">
        <f>"Chicken processing equip"</f>
        <v>Chicken processing equip</v>
      </c>
      <c r="D134" s="18" t="s">
        <v>1895</v>
      </c>
    </row>
    <row r="135" spans="1:4">
      <c r="A135" s="18" t="s">
        <v>300</v>
      </c>
      <c r="B135" s="18" t="str">
        <f>"2322000080"</f>
        <v>2322000080</v>
      </c>
      <c r="C135" s="18" t="str">
        <f>"Chicken processing equip - Haz"</f>
        <v>Chicken processing equip - Haz</v>
      </c>
      <c r="D135" s="18" t="s">
        <v>1895</v>
      </c>
    </row>
    <row r="136" spans="1:4">
      <c r="A136" s="18" t="s">
        <v>300</v>
      </c>
      <c r="B136" s="18" t="str">
        <f>"2323000000"</f>
        <v>2323000000</v>
      </c>
      <c r="C136" s="18" t="str">
        <f>"Sawmill &amp; lumber equip"</f>
        <v>Sawmill &amp; lumber equip</v>
      </c>
      <c r="D136" s="18" t="s">
        <v>1895</v>
      </c>
    </row>
    <row r="137" spans="1:4">
      <c r="A137" s="18" t="s">
        <v>300</v>
      </c>
      <c r="B137" s="18" t="str">
        <f>"2323000080"</f>
        <v>2323000080</v>
      </c>
      <c r="C137" s="18" t="str">
        <f>"Sawmill &amp; lumber equip - Haz"</f>
        <v>Sawmill &amp; lumber equip - Haz</v>
      </c>
      <c r="D137" s="18" t="s">
        <v>1895</v>
      </c>
    </row>
    <row r="138" spans="1:4">
      <c r="A138" s="18" t="s">
        <v>300</v>
      </c>
      <c r="B138" s="18" t="str">
        <f>"2324000000"</f>
        <v>2324000000</v>
      </c>
      <c r="C138" s="18" t="str">
        <f>"Metal cutting machy"</f>
        <v>Metal cutting machy</v>
      </c>
      <c r="D138" s="18" t="s">
        <v>1895</v>
      </c>
    </row>
    <row r="139" spans="1:4">
      <c r="A139" s="18" t="s">
        <v>300</v>
      </c>
      <c r="B139" s="18" t="str">
        <f>"2324000080"</f>
        <v>2324000080</v>
      </c>
      <c r="C139" s="18" t="str">
        <f>"Metal cutting machy - Haz"</f>
        <v>Metal cutting machy - Haz</v>
      </c>
      <c r="D139" s="18" t="s">
        <v>1895</v>
      </c>
    </row>
    <row r="140" spans="1:4">
      <c r="A140" s="18" t="s">
        <v>300</v>
      </c>
      <c r="B140" s="18" t="str">
        <f>"2325000000"</f>
        <v>2325000000</v>
      </c>
      <c r="C140" s="18" t="str">
        <f>"Metal forming machy"</f>
        <v>Metal forming machy</v>
      </c>
      <c r="D140" s="18" t="s">
        <v>1895</v>
      </c>
    </row>
    <row r="141" spans="1:4">
      <c r="A141" s="18" t="s">
        <v>300</v>
      </c>
      <c r="B141" s="18" t="str">
        <f>"2325000080"</f>
        <v>2325000080</v>
      </c>
      <c r="C141" s="18" t="str">
        <f>"Metal forming machy - Haz"</f>
        <v>Metal forming machy - Haz</v>
      </c>
      <c r="D141" s="18" t="s">
        <v>1895</v>
      </c>
    </row>
    <row r="142" spans="1:4">
      <c r="A142" s="18" t="s">
        <v>300</v>
      </c>
      <c r="B142" s="18" t="str">
        <f>"2326000000"</f>
        <v>2326000000</v>
      </c>
      <c r="C142" s="18" t="str">
        <f>"Rapid prototyping machy"</f>
        <v>Rapid prototyping machy</v>
      </c>
      <c r="D142" s="18" t="s">
        <v>1895</v>
      </c>
    </row>
    <row r="143" spans="1:4">
      <c r="A143" s="18" t="s">
        <v>300</v>
      </c>
      <c r="B143" s="18" t="str">
        <f>"2326000080"</f>
        <v>2326000080</v>
      </c>
      <c r="C143" s="18" t="str">
        <f>"Rapid prototyping machy - Haz"</f>
        <v>Rapid prototyping machy - Haz</v>
      </c>
      <c r="D143" s="18" t="s">
        <v>1895</v>
      </c>
    </row>
    <row r="144" spans="1:4">
      <c r="A144" s="18" t="s">
        <v>300</v>
      </c>
      <c r="B144" s="18" t="str">
        <f>"2327000000"</f>
        <v>2327000000</v>
      </c>
      <c r="C144" s="18" t="str">
        <f>"Welding, soldering machy"</f>
        <v>Welding, soldering machy</v>
      </c>
      <c r="D144" s="18" t="s">
        <v>1895</v>
      </c>
    </row>
    <row r="145" spans="1:4">
      <c r="A145" s="18" t="s">
        <v>300</v>
      </c>
      <c r="B145" s="18" t="str">
        <f>"2327000080"</f>
        <v>2327000080</v>
      </c>
      <c r="C145" s="18" t="str">
        <f>"Welding, soldering machy - Haz"</f>
        <v>Welding, soldering machy - Haz</v>
      </c>
      <c r="D145" s="18" t="s">
        <v>1895</v>
      </c>
    </row>
    <row r="146" spans="1:4">
      <c r="A146" s="18" t="s">
        <v>300</v>
      </c>
      <c r="B146" s="18" t="str">
        <f>"2328000000"</f>
        <v>2328000000</v>
      </c>
      <c r="C146" s="18" t="str">
        <f>"Metal treatment machy"</f>
        <v>Metal treatment machy</v>
      </c>
      <c r="D146" s="18" t="s">
        <v>1895</v>
      </c>
    </row>
    <row r="147" spans="1:4">
      <c r="A147" s="18" t="s">
        <v>300</v>
      </c>
      <c r="B147" s="18" t="str">
        <f>"2328000080"</f>
        <v>2328000080</v>
      </c>
      <c r="C147" s="18" t="str">
        <f>"Metal treatment machy - Haz"</f>
        <v>Metal treatment machy - Haz</v>
      </c>
      <c r="D147" s="18" t="s">
        <v>1895</v>
      </c>
    </row>
    <row r="148" spans="1:4">
      <c r="A148" s="18" t="s">
        <v>300</v>
      </c>
      <c r="B148" s="18" t="str">
        <f>"2329000000"</f>
        <v>2329000000</v>
      </c>
      <c r="C148" s="18" t="str">
        <f>"indstrl machine tools"</f>
        <v>indstrl machine tools</v>
      </c>
      <c r="D148" s="18" t="s">
        <v>1895</v>
      </c>
    </row>
    <row r="149" spans="1:4">
      <c r="A149" s="18" t="s">
        <v>300</v>
      </c>
      <c r="B149" s="18" t="str">
        <f>"2329000080"</f>
        <v>2329000080</v>
      </c>
      <c r="C149" s="18" t="str">
        <f>"indstrl machine tools - Haz"</f>
        <v>indstrl machine tools - Haz</v>
      </c>
      <c r="D149" s="18" t="s">
        <v>1895</v>
      </c>
    </row>
    <row r="150" spans="1:4">
      <c r="A150" s="18" t="s">
        <v>300</v>
      </c>
      <c r="B150" s="18" t="str">
        <f>"2400000000"</f>
        <v>2400000000</v>
      </c>
      <c r="C150" s="18" t="str">
        <f>"2400000000"</f>
        <v>2400000000</v>
      </c>
      <c r="D150" s="18" t="s">
        <v>1895</v>
      </c>
    </row>
    <row r="151" spans="1:4">
      <c r="A151" s="18" t="s">
        <v>300</v>
      </c>
      <c r="B151" s="18" t="str">
        <f>"2410000000"</f>
        <v>2410000000</v>
      </c>
      <c r="C151" s="18" t="str">
        <f>"Material h&amp;ling equip"</f>
        <v>Material h&amp;ling equip</v>
      </c>
      <c r="D151" s="18" t="s">
        <v>1895</v>
      </c>
    </row>
    <row r="152" spans="1:4">
      <c r="A152" s="18" t="s">
        <v>300</v>
      </c>
      <c r="B152" s="18" t="str">
        <f>"2410000080"</f>
        <v>2410000080</v>
      </c>
      <c r="C152" s="18" t="str">
        <f>"Material h&amp;ling equip - Haz"</f>
        <v>Material h&amp;ling equip - Haz</v>
      </c>
      <c r="D152" s="18" t="s">
        <v>1895</v>
      </c>
    </row>
    <row r="153" spans="1:4">
      <c r="A153" s="18" t="s">
        <v>300</v>
      </c>
      <c r="B153" s="18" t="str">
        <f>"2411000000"</f>
        <v>2411000000</v>
      </c>
      <c r="C153" s="18" t="str">
        <f>"Containers &amp; storage"</f>
        <v>Containers &amp; storage</v>
      </c>
      <c r="D153" s="18" t="s">
        <v>1895</v>
      </c>
    </row>
    <row r="154" spans="1:4">
      <c r="A154" s="18" t="s">
        <v>300</v>
      </c>
      <c r="B154" s="18" t="str">
        <f>"2412000000"</f>
        <v>2412000000</v>
      </c>
      <c r="C154" s="18" t="str">
        <f>"Packaging mtrls"</f>
        <v>Packaging mtrls</v>
      </c>
      <c r="D154" s="18" t="s">
        <v>1895</v>
      </c>
    </row>
    <row r="155" spans="1:4">
      <c r="A155" s="18" t="s">
        <v>300</v>
      </c>
      <c r="B155" s="18" t="str">
        <f>"2412000080"</f>
        <v>2412000080</v>
      </c>
      <c r="C155" s="18" t="str">
        <f>"Packaging mtrls - Haz"</f>
        <v>Packaging mtrls - Haz</v>
      </c>
      <c r="D155" s="18" t="s">
        <v>1895</v>
      </c>
    </row>
    <row r="156" spans="1:4">
      <c r="A156" s="18" t="s">
        <v>300</v>
      </c>
      <c r="B156" s="18" t="str">
        <f>"2412000090"</f>
        <v>2412000090</v>
      </c>
      <c r="C156" s="18" t="str">
        <f>"Packaging mtrls - Grn"</f>
        <v>Packaging mtrls - Grn</v>
      </c>
      <c r="D156" s="18" t="s">
        <v>1895</v>
      </c>
    </row>
    <row r="157" spans="1:4">
      <c r="A157" s="18" t="s">
        <v>300</v>
      </c>
      <c r="B157" s="18" t="str">
        <f>"2413000000"</f>
        <v>2413000000</v>
      </c>
      <c r="C157" s="18" t="str">
        <f>"Indstrl refrigeration"</f>
        <v>Indstrl refrigeration</v>
      </c>
      <c r="D157" s="18" t="s">
        <v>1895</v>
      </c>
    </row>
    <row r="158" spans="1:4">
      <c r="A158" s="18" t="s">
        <v>300</v>
      </c>
      <c r="B158" s="18" t="str">
        <f>"2414000000"</f>
        <v>2414000000</v>
      </c>
      <c r="C158" s="18" t="str">
        <f>"Packing supplies"</f>
        <v>Packing supplies</v>
      </c>
      <c r="D158" s="18" t="s">
        <v>1895</v>
      </c>
    </row>
    <row r="159" spans="1:4">
      <c r="A159" s="18" t="s">
        <v>300</v>
      </c>
      <c r="B159" s="18" t="str">
        <f>"2414000090"</f>
        <v>2414000090</v>
      </c>
      <c r="C159" s="18" t="str">
        <f>"Packing supplies - Grn"</f>
        <v>Packing supplies - Grn</v>
      </c>
      <c r="D159" s="18" t="s">
        <v>1895</v>
      </c>
    </row>
    <row r="160" spans="1:4">
      <c r="A160" s="18" t="s">
        <v>300</v>
      </c>
      <c r="B160" s="18" t="str">
        <f>"2500000000"</f>
        <v>2500000000</v>
      </c>
      <c r="C160" s="18" t="str">
        <f>"2500000000"</f>
        <v>2500000000</v>
      </c>
      <c r="D160" s="18" t="s">
        <v>1895</v>
      </c>
    </row>
    <row r="161" spans="1:4">
      <c r="A161" s="18" t="s">
        <v>300</v>
      </c>
      <c r="B161" s="18" t="str">
        <f>"2510000000"</f>
        <v>2510000000</v>
      </c>
      <c r="C161" s="18" t="str">
        <f>"Motor vehicles"</f>
        <v>Motor vehicles</v>
      </c>
      <c r="D161" s="18" t="s">
        <v>1895</v>
      </c>
    </row>
    <row r="162" spans="1:4">
      <c r="A162" s="18" t="s">
        <v>300</v>
      </c>
      <c r="B162" s="18" t="str">
        <f>"2510000090"</f>
        <v>2510000090</v>
      </c>
      <c r="C162" s="18" t="str">
        <f>"Motor vehicles - Grn"</f>
        <v>Motor vehicles - Grn</v>
      </c>
      <c r="D162" s="18" t="s">
        <v>1895</v>
      </c>
    </row>
    <row r="163" spans="1:4">
      <c r="A163" s="18" t="s">
        <v>300</v>
      </c>
      <c r="B163" s="18" t="str">
        <f>"2511000000"</f>
        <v>2511000000</v>
      </c>
      <c r="C163" s="18" t="str">
        <f>"Marine transport"</f>
        <v>Marine transport</v>
      </c>
      <c r="D163" s="18" t="s">
        <v>1895</v>
      </c>
    </row>
    <row r="164" spans="1:4">
      <c r="A164" s="18" t="s">
        <v>300</v>
      </c>
      <c r="B164" s="18" t="str">
        <f>"2512000000"</f>
        <v>2512000000</v>
      </c>
      <c r="C164" s="18" t="str">
        <f>"Railway &amp; tramway equip"</f>
        <v>Railway &amp; tramway equip</v>
      </c>
      <c r="D164" s="18" t="s">
        <v>1895</v>
      </c>
    </row>
    <row r="165" spans="1:4">
      <c r="A165" s="18" t="s">
        <v>300</v>
      </c>
      <c r="B165" s="18" t="str">
        <f>"2513000000"</f>
        <v>2513000000</v>
      </c>
      <c r="C165" s="18" t="str">
        <f>"Aircraft"</f>
        <v>Aircraft</v>
      </c>
      <c r="D165" s="18" t="s">
        <v>1895</v>
      </c>
    </row>
    <row r="166" spans="1:4">
      <c r="A166" s="18" t="s">
        <v>300</v>
      </c>
      <c r="B166" s="18" t="str">
        <f>"2513000080"</f>
        <v>2513000080</v>
      </c>
      <c r="C166" s="18" t="str">
        <f>"Aircraft - Haz"</f>
        <v>Aircraft - Haz</v>
      </c>
      <c r="D166" s="18" t="s">
        <v>1895</v>
      </c>
    </row>
    <row r="167" spans="1:4">
      <c r="A167" s="18" t="s">
        <v>300</v>
      </c>
      <c r="B167" s="18" t="str">
        <f>"2515000000"</f>
        <v>2515000000</v>
      </c>
      <c r="C167" s="18" t="str">
        <f>"Spacecraft"</f>
        <v>Spacecraft</v>
      </c>
      <c r="D167" s="18" t="s">
        <v>1895</v>
      </c>
    </row>
    <row r="168" spans="1:4">
      <c r="A168" s="18" t="s">
        <v>300</v>
      </c>
      <c r="B168" s="18" t="str">
        <f>"2515000080"</f>
        <v>2515000080</v>
      </c>
      <c r="C168" s="18" t="str">
        <f>"Spacecraft - Haz"</f>
        <v>Spacecraft - Haz</v>
      </c>
      <c r="D168" s="18" t="s">
        <v>1895</v>
      </c>
    </row>
    <row r="169" spans="1:4">
      <c r="A169" s="18" t="s">
        <v>300</v>
      </c>
      <c r="B169" s="18" t="str">
        <f>"2516000000"</f>
        <v>2516000000</v>
      </c>
      <c r="C169" s="18" t="str">
        <f>"Non motorized cycles"</f>
        <v>Non motorized cycles</v>
      </c>
      <c r="D169" s="18" t="s">
        <v>1895</v>
      </c>
    </row>
    <row r="170" spans="1:4">
      <c r="A170" s="18" t="s">
        <v>300</v>
      </c>
      <c r="B170" s="18" t="str">
        <f>"2516000090"</f>
        <v>2516000090</v>
      </c>
      <c r="C170" s="18" t="str">
        <f>"Non motorized cycles - Grn"</f>
        <v>Non motorized cycles - Grn</v>
      </c>
      <c r="D170" s="18" t="s">
        <v>1895</v>
      </c>
    </row>
    <row r="171" spans="1:4">
      <c r="A171" s="18" t="s">
        <v>300</v>
      </c>
      <c r="B171" s="18" t="str">
        <f>"2517000000"</f>
        <v>2517000000</v>
      </c>
      <c r="C171" s="18" t="str">
        <f>"Trnsprtn parts &amp; syst"</f>
        <v>Trnsprtn parts &amp; syst</v>
      </c>
      <c r="D171" s="18" t="s">
        <v>1895</v>
      </c>
    </row>
    <row r="172" spans="1:4">
      <c r="A172" s="18" t="s">
        <v>300</v>
      </c>
      <c r="B172" s="18" t="str">
        <f>"2517000080"</f>
        <v>2517000080</v>
      </c>
      <c r="C172" s="18" t="str">
        <f>"Trnsprtn parts &amp; syst - Haz"</f>
        <v>Trnsprtn parts &amp; syst - Haz</v>
      </c>
      <c r="D172" s="18" t="s">
        <v>1895</v>
      </c>
    </row>
    <row r="173" spans="1:4">
      <c r="A173" s="18" t="s">
        <v>300</v>
      </c>
      <c r="B173" s="18" t="str">
        <f>"2518000000"</f>
        <v>2518000000</v>
      </c>
      <c r="C173" s="18" t="str">
        <f>"Vehicle bodies &amp; trailers"</f>
        <v>Vehicle bodies &amp; trailers</v>
      </c>
      <c r="D173" s="18" t="s">
        <v>1895</v>
      </c>
    </row>
    <row r="174" spans="1:4">
      <c r="A174" s="18" t="s">
        <v>300</v>
      </c>
      <c r="B174" s="18" t="str">
        <f>"2519000000"</f>
        <v>2519000000</v>
      </c>
      <c r="C174" s="18" t="str">
        <f>"Trnsprtn svcs equip"</f>
        <v>Trnsprtn svcs equip</v>
      </c>
      <c r="D174" s="18" t="s">
        <v>1895</v>
      </c>
    </row>
    <row r="175" spans="1:4">
      <c r="A175" s="18" t="s">
        <v>300</v>
      </c>
      <c r="B175" s="18" t="str">
        <f>"2520000000"</f>
        <v>2520000000</v>
      </c>
      <c r="C175" s="18" t="str">
        <f>"Aerospace syst &amp; equip"</f>
        <v>Aerospace syst &amp; equip</v>
      </c>
      <c r="D175" s="18" t="s">
        <v>1895</v>
      </c>
    </row>
    <row r="176" spans="1:4">
      <c r="A176" s="18" t="s">
        <v>300</v>
      </c>
      <c r="B176" s="18" t="str">
        <f>"2520000080"</f>
        <v>2520000080</v>
      </c>
      <c r="C176" s="18" t="str">
        <f>"Aerospace syst &amp; equip - Haz"</f>
        <v>Aerospace syst &amp; equip - Haz</v>
      </c>
      <c r="D176" s="18" t="s">
        <v>1895</v>
      </c>
    </row>
    <row r="177" spans="1:4">
      <c r="A177" s="18" t="s">
        <v>300</v>
      </c>
      <c r="B177" s="18" t="str">
        <f>"2600000000"</f>
        <v>2600000000</v>
      </c>
      <c r="C177" s="18" t="str">
        <f>"2600000000"</f>
        <v>2600000000</v>
      </c>
      <c r="D177" s="18" t="s">
        <v>1895</v>
      </c>
    </row>
    <row r="178" spans="1:4">
      <c r="A178" s="18" t="s">
        <v>300</v>
      </c>
      <c r="B178" s="18" t="str">
        <f>"2610000000"</f>
        <v>2610000000</v>
      </c>
      <c r="C178" s="18" t="str">
        <f>"Power sources"</f>
        <v>Power sources</v>
      </c>
      <c r="D178" s="18" t="s">
        <v>1895</v>
      </c>
    </row>
    <row r="179" spans="1:4">
      <c r="A179" s="18" t="s">
        <v>300</v>
      </c>
      <c r="B179" s="18" t="str">
        <f>"2610000080"</f>
        <v>2610000080</v>
      </c>
      <c r="C179" s="18" t="str">
        <f>"Power sources - Haz"</f>
        <v>Power sources - Haz</v>
      </c>
      <c r="D179" s="18" t="s">
        <v>1895</v>
      </c>
    </row>
    <row r="180" spans="1:4">
      <c r="A180" s="18" t="s">
        <v>300</v>
      </c>
      <c r="B180" s="18" t="str">
        <f>"2610000090"</f>
        <v>2610000090</v>
      </c>
      <c r="C180" s="18" t="str">
        <f>"Power sources - Grn"</f>
        <v>Power sources - Grn</v>
      </c>
      <c r="D180" s="18" t="s">
        <v>1895</v>
      </c>
    </row>
    <row r="181" spans="1:4">
      <c r="A181" s="18" t="s">
        <v>300</v>
      </c>
      <c r="B181" s="18" t="str">
        <f>"2611000000"</f>
        <v>2611000000</v>
      </c>
      <c r="C181" s="18" t="str">
        <f>"Batteries &amp; generators"</f>
        <v>Batteries &amp; generators</v>
      </c>
      <c r="D181" s="18" t="s">
        <v>1895</v>
      </c>
    </row>
    <row r="182" spans="1:4">
      <c r="A182" s="18" t="s">
        <v>300</v>
      </c>
      <c r="B182" s="18" t="str">
        <f>"2611000080"</f>
        <v>2611000080</v>
      </c>
      <c r="C182" s="18" t="str">
        <f>"Batteries &amp; generators - Haz"</f>
        <v>Batteries &amp; generators - Haz</v>
      </c>
      <c r="D182" s="18" t="s">
        <v>1895</v>
      </c>
    </row>
    <row r="183" spans="1:4">
      <c r="A183" s="18" t="s">
        <v>300</v>
      </c>
      <c r="B183" s="18" t="str">
        <f>"2611000090"</f>
        <v>2611000090</v>
      </c>
      <c r="C183" s="18" t="str">
        <f>"Batteries &amp; generators - Grn"</f>
        <v>Batteries &amp; generators - Grn</v>
      </c>
      <c r="D183" s="18" t="s">
        <v>1895</v>
      </c>
    </row>
    <row r="184" spans="1:4">
      <c r="A184" s="18" t="s">
        <v>300</v>
      </c>
      <c r="B184" s="18" t="str">
        <f>"2612000000"</f>
        <v>2612000000</v>
      </c>
      <c r="C184" s="18" t="str">
        <f>"Electrical wire &amp; cable"</f>
        <v>Electrical wire &amp; cable</v>
      </c>
      <c r="D184" s="18" t="s">
        <v>1895</v>
      </c>
    </row>
    <row r="185" spans="1:4">
      <c r="A185" s="18" t="s">
        <v>300</v>
      </c>
      <c r="B185" s="18" t="str">
        <f>"2612000080"</f>
        <v>2612000080</v>
      </c>
      <c r="C185" s="18" t="str">
        <f>"Electrical wire &amp; cable - Haz"</f>
        <v>Electrical wire &amp; cable - Haz</v>
      </c>
      <c r="D185" s="18" t="s">
        <v>1895</v>
      </c>
    </row>
    <row r="186" spans="1:4">
      <c r="A186" s="18" t="s">
        <v>300</v>
      </c>
      <c r="B186" s="18" t="str">
        <f>"2612000090"</f>
        <v>2612000090</v>
      </c>
      <c r="C186" s="18" t="str">
        <f>"Electrical wire &amp; cable -Grn"</f>
        <v>Electrical wire &amp; cable -Grn</v>
      </c>
      <c r="D186" s="18" t="s">
        <v>1895</v>
      </c>
    </row>
    <row r="187" spans="1:4">
      <c r="A187" s="18" t="s">
        <v>300</v>
      </c>
      <c r="B187" s="18" t="str">
        <f>"2613000000"</f>
        <v>2613000000</v>
      </c>
      <c r="C187" s="18" t="str">
        <f>"Power generation"</f>
        <v>Power generation</v>
      </c>
      <c r="D187" s="18" t="s">
        <v>1895</v>
      </c>
    </row>
    <row r="188" spans="1:4">
      <c r="A188" s="18" t="s">
        <v>300</v>
      </c>
      <c r="B188" s="18" t="str">
        <f>"2613000080"</f>
        <v>2613000080</v>
      </c>
      <c r="C188" s="18" t="str">
        <f>"Power generation - Haz"</f>
        <v>Power generation - Haz</v>
      </c>
      <c r="D188" s="18" t="s">
        <v>1895</v>
      </c>
    </row>
    <row r="189" spans="1:4">
      <c r="A189" s="18" t="s">
        <v>300</v>
      </c>
      <c r="B189" s="18" t="str">
        <f>"2613000090"</f>
        <v>2613000090</v>
      </c>
      <c r="C189" s="18" t="str">
        <f>"Power generation - Grn"</f>
        <v>Power generation - Grn</v>
      </c>
      <c r="D189" s="18" t="s">
        <v>1895</v>
      </c>
    </row>
    <row r="190" spans="1:4">
      <c r="A190" s="18" t="s">
        <v>300</v>
      </c>
      <c r="B190" s="18" t="str">
        <f>"2614000000"</f>
        <v>2614000000</v>
      </c>
      <c r="C190" s="18" t="str">
        <f>"Atomic &amp; nuclear equip"</f>
        <v>Atomic &amp; nuclear equip</v>
      </c>
      <c r="D190" s="18" t="s">
        <v>1895</v>
      </c>
    </row>
    <row r="191" spans="1:4">
      <c r="A191" s="18" t="s">
        <v>300</v>
      </c>
      <c r="B191" s="18" t="str">
        <f>"2614000080"</f>
        <v>2614000080</v>
      </c>
      <c r="C191" s="18" t="str">
        <f>"Atomic &amp; nuclear equip - Haz"</f>
        <v>Atomic &amp; nuclear equip - Haz</v>
      </c>
      <c r="D191" s="18" t="s">
        <v>1895</v>
      </c>
    </row>
    <row r="192" spans="1:4">
      <c r="A192" s="18" t="s">
        <v>300</v>
      </c>
      <c r="B192" s="18" t="str">
        <f>"2700000000"</f>
        <v>2700000000</v>
      </c>
      <c r="C192" s="18" t="str">
        <f>"2700000000"</f>
        <v>2700000000</v>
      </c>
      <c r="D192" s="18" t="s">
        <v>1895</v>
      </c>
    </row>
    <row r="193" spans="1:4">
      <c r="A193" s="18" t="s">
        <v>300</v>
      </c>
      <c r="B193" s="18" t="str">
        <f>"2711000000"</f>
        <v>2711000000</v>
      </c>
      <c r="C193" s="18" t="str">
        <f>"Hand tools"</f>
        <v>Hand tools</v>
      </c>
      <c r="D193" s="18" t="s">
        <v>1895</v>
      </c>
    </row>
    <row r="194" spans="1:4">
      <c r="A194" s="18" t="s">
        <v>300</v>
      </c>
      <c r="B194" s="18" t="str">
        <f>"2712000000"</f>
        <v>2712000000</v>
      </c>
      <c r="C194" s="18" t="str">
        <f>"Hydraulic equip"</f>
        <v>Hydraulic equip</v>
      </c>
      <c r="D194" s="18" t="s">
        <v>1895</v>
      </c>
    </row>
    <row r="195" spans="1:4">
      <c r="A195" s="18" t="s">
        <v>300</v>
      </c>
      <c r="B195" s="18" t="str">
        <f>"2712000080"</f>
        <v>2712000080</v>
      </c>
      <c r="C195" s="18" t="str">
        <f>"Hydraulic equip - Haz"</f>
        <v>Hydraulic equip - Haz</v>
      </c>
      <c r="D195" s="18" t="s">
        <v>1895</v>
      </c>
    </row>
    <row r="196" spans="1:4">
      <c r="A196" s="18" t="s">
        <v>300</v>
      </c>
      <c r="B196" s="18" t="str">
        <f>"2713000000"</f>
        <v>2713000000</v>
      </c>
      <c r="C196" s="18" t="str">
        <f>"Pneumatic equip"</f>
        <v>Pneumatic equip</v>
      </c>
      <c r="D196" s="18" t="s">
        <v>1895</v>
      </c>
    </row>
    <row r="197" spans="1:4">
      <c r="A197" s="18" t="s">
        <v>300</v>
      </c>
      <c r="B197" s="18" t="str">
        <f>"2713000080"</f>
        <v>2713000080</v>
      </c>
      <c r="C197" s="18" t="str">
        <f>"Pneumatic equip - Haz"</f>
        <v>Pneumatic equip - Haz</v>
      </c>
      <c r="D197" s="18" t="s">
        <v>1895</v>
      </c>
    </row>
    <row r="198" spans="1:4">
      <c r="A198" s="18" t="s">
        <v>300</v>
      </c>
      <c r="B198" s="18" t="str">
        <f>"2714000000"</f>
        <v>2714000000</v>
      </c>
      <c r="C198" s="18" t="str">
        <f>"automtv specialty tools"</f>
        <v>automtv specialty tools</v>
      </c>
      <c r="D198" s="18" t="s">
        <v>1895</v>
      </c>
    </row>
    <row r="199" spans="1:4">
      <c r="A199" s="18" t="s">
        <v>300</v>
      </c>
      <c r="B199" s="18" t="str">
        <f>"2714000080"</f>
        <v>2714000080</v>
      </c>
      <c r="C199" s="18" t="str">
        <f>"automtv specialty tools - Haz"</f>
        <v>automtv specialty tools - Haz</v>
      </c>
      <c r="D199" s="18" t="s">
        <v>1895</v>
      </c>
    </row>
    <row r="200" spans="1:4">
      <c r="A200" s="18" t="s">
        <v>300</v>
      </c>
      <c r="B200" s="18" t="str">
        <f>"3000"</f>
        <v>3000</v>
      </c>
      <c r="C200" s="18" t="str">
        <f>"3000"</f>
        <v>3000</v>
      </c>
      <c r="D200" s="18" t="s">
        <v>1895</v>
      </c>
    </row>
    <row r="201" spans="1:4">
      <c r="A201" s="18" t="s">
        <v>300</v>
      </c>
      <c r="B201" s="18" t="str">
        <f>"3000000000"</f>
        <v>3000000000</v>
      </c>
      <c r="C201" s="18" t="str">
        <f>"3000000000"</f>
        <v>3000000000</v>
      </c>
      <c r="D201" s="18" t="s">
        <v>1895</v>
      </c>
    </row>
    <row r="202" spans="1:4">
      <c r="A202" s="18" t="s">
        <v>300</v>
      </c>
      <c r="B202" s="18" t="str">
        <f>"3010000000"</f>
        <v>3010000000</v>
      </c>
      <c r="C202" s="18" t="str">
        <f>"Structural mtrls"</f>
        <v>Structural mtrls</v>
      </c>
      <c r="D202" s="18" t="s">
        <v>1895</v>
      </c>
    </row>
    <row r="203" spans="1:4">
      <c r="A203" s="18" t="s">
        <v>300</v>
      </c>
      <c r="B203" s="18" t="str">
        <f>"3011000000"</f>
        <v>3011000000</v>
      </c>
      <c r="C203" s="18" t="str">
        <f>"Concrete &amp; cement &amp; plaster"</f>
        <v>Concrete &amp; cement &amp; plaster</v>
      </c>
      <c r="D203" s="18" t="s">
        <v>1895</v>
      </c>
    </row>
    <row r="204" spans="1:4">
      <c r="A204" s="18" t="s">
        <v>300</v>
      </c>
      <c r="B204" s="18" t="str">
        <f>"3011000080"</f>
        <v>3011000080</v>
      </c>
      <c r="C204" s="18" t="str">
        <f>"Concrete &amp; cement - Haz"</f>
        <v>Concrete &amp; cement - Haz</v>
      </c>
      <c r="D204" s="18" t="s">
        <v>1895</v>
      </c>
    </row>
    <row r="205" spans="1:4">
      <c r="A205" s="18" t="s">
        <v>300</v>
      </c>
      <c r="B205" s="18" t="str">
        <f>"3011000090"</f>
        <v>3011000090</v>
      </c>
      <c r="C205" s="18" t="str">
        <f>"Concrete &amp; cement - Grn"</f>
        <v>Concrete &amp; cement - Grn</v>
      </c>
      <c r="D205" s="18" t="s">
        <v>1895</v>
      </c>
    </row>
    <row r="206" spans="1:4">
      <c r="A206" s="18" t="s">
        <v>300</v>
      </c>
      <c r="B206" s="18" t="str">
        <f>"3012000000"</f>
        <v>3012000000</v>
      </c>
      <c r="C206" s="18" t="str">
        <f>"Roads &amp; lndscp"</f>
        <v>Roads &amp; lndscp</v>
      </c>
      <c r="D206" s="18" t="s">
        <v>1895</v>
      </c>
    </row>
    <row r="207" spans="1:4">
      <c r="A207" s="18" t="s">
        <v>300</v>
      </c>
      <c r="B207" s="18" t="str">
        <f>"3013000000"</f>
        <v>3013000000</v>
      </c>
      <c r="C207" s="18" t="str">
        <f>"Structural bldg products"</f>
        <v>Structural bldg products</v>
      </c>
      <c r="D207" s="18" t="s">
        <v>1895</v>
      </c>
    </row>
    <row r="208" spans="1:4">
      <c r="A208" s="18" t="s">
        <v>300</v>
      </c>
      <c r="B208" s="18" t="str">
        <f>"3014000000"</f>
        <v>3014000000</v>
      </c>
      <c r="C208" s="18" t="str">
        <f>"Insulation"</f>
        <v>Insulation</v>
      </c>
      <c r="D208" s="18" t="s">
        <v>1895</v>
      </c>
    </row>
    <row r="209" spans="1:4">
      <c r="A209" s="18" t="s">
        <v>300</v>
      </c>
      <c r="B209" s="18" t="str">
        <f>"3014000080"</f>
        <v>3014000080</v>
      </c>
      <c r="C209" s="18" t="str">
        <f>"Insulation - Haz"</f>
        <v>Insulation - Haz</v>
      </c>
      <c r="D209" s="18" t="s">
        <v>1895</v>
      </c>
    </row>
    <row r="210" spans="1:4">
      <c r="A210" s="18" t="s">
        <v>300</v>
      </c>
      <c r="B210" s="18" t="str">
        <f>"3015000000"</f>
        <v>3015000000</v>
      </c>
      <c r="C210" s="18" t="str">
        <f>"Exterior finishing mtrls"</f>
        <v>Exterior finishing mtrls</v>
      </c>
      <c r="D210" s="18" t="s">
        <v>1895</v>
      </c>
    </row>
    <row r="211" spans="1:4">
      <c r="A211" s="18" t="s">
        <v>300</v>
      </c>
      <c r="B211" s="18" t="str">
        <f>"3015000080"</f>
        <v>3015000080</v>
      </c>
      <c r="C211" s="18" t="str">
        <f>"Exterior finishing mtrls - Haz"</f>
        <v>Exterior finishing mtrls - Haz</v>
      </c>
      <c r="D211" s="18" t="s">
        <v>1895</v>
      </c>
    </row>
    <row r="212" spans="1:4">
      <c r="A212" s="18" t="s">
        <v>300</v>
      </c>
      <c r="B212" s="18" t="str">
        <f>"3016000000"</f>
        <v>3016000000</v>
      </c>
      <c r="C212" s="18" t="str">
        <f>"Interior finishing mtrls"</f>
        <v>Interior finishing mtrls</v>
      </c>
      <c r="D212" s="18" t="s">
        <v>1895</v>
      </c>
    </row>
    <row r="213" spans="1:4">
      <c r="A213" s="18" t="s">
        <v>300</v>
      </c>
      <c r="B213" s="18" t="str">
        <f>"3016000080"</f>
        <v>3016000080</v>
      </c>
      <c r="C213" s="18" t="str">
        <f>"Interior finishing mtrls - Haz"</f>
        <v>Interior finishing mtrls - Haz</v>
      </c>
      <c r="D213" s="18" t="s">
        <v>1895</v>
      </c>
    </row>
    <row r="214" spans="1:4">
      <c r="A214" s="18" t="s">
        <v>300</v>
      </c>
      <c r="B214" s="18" t="str">
        <f>"3017000000"</f>
        <v>3017000000</v>
      </c>
      <c r="C214" s="18" t="str">
        <f>"Doors &amp; windows &amp; glass"</f>
        <v>Doors &amp; windows &amp; glass</v>
      </c>
      <c r="D214" s="18" t="s">
        <v>1895</v>
      </c>
    </row>
    <row r="215" spans="1:4">
      <c r="A215" s="18" t="s">
        <v>300</v>
      </c>
      <c r="B215" s="18" t="str">
        <f>"3018000000"</f>
        <v>3018000000</v>
      </c>
      <c r="C215" s="18" t="str">
        <f>"Plumbing fixtures"</f>
        <v>Plumbing fixtures</v>
      </c>
      <c r="D215" s="18" t="s">
        <v>1895</v>
      </c>
    </row>
    <row r="216" spans="1:4">
      <c r="A216" s="18" t="s">
        <v>300</v>
      </c>
      <c r="B216" s="18" t="str">
        <f>"3019000000"</f>
        <v>3019000000</v>
      </c>
      <c r="C216" s="18" t="str">
        <f>"Constrctn &amp; mntnc equip"</f>
        <v>Constrctn &amp; mntnc equip</v>
      </c>
      <c r="D216" s="18" t="s">
        <v>1895</v>
      </c>
    </row>
    <row r="217" spans="1:4">
      <c r="A217" s="18" t="s">
        <v>300</v>
      </c>
      <c r="B217" s="18" t="str">
        <f>"3020000000"</f>
        <v>3020000000</v>
      </c>
      <c r="C217" s="18" t="str">
        <f>"Prefabricated structures"</f>
        <v>Prefabricated structures</v>
      </c>
      <c r="D217" s="18" t="s">
        <v>1895</v>
      </c>
    </row>
    <row r="218" spans="1:4">
      <c r="A218" s="18" t="s">
        <v>300</v>
      </c>
      <c r="B218" s="18" t="str">
        <f>"3022000000"</f>
        <v>3022000000</v>
      </c>
      <c r="C218" s="18" t="str">
        <f>"Permanent structures"</f>
        <v>Permanent structures</v>
      </c>
      <c r="D218" s="18" t="s">
        <v>1895</v>
      </c>
    </row>
    <row r="219" spans="1:4">
      <c r="A219" s="18" t="s">
        <v>300</v>
      </c>
      <c r="B219" s="18" t="str">
        <f>"3023000000"</f>
        <v>3023000000</v>
      </c>
      <c r="C219" s="18" t="str">
        <f>"Portable Structures"</f>
        <v>Portable Structures</v>
      </c>
      <c r="D219" s="18" t="s">
        <v>1895</v>
      </c>
    </row>
    <row r="220" spans="1:4">
      <c r="A220" s="18" t="s">
        <v>300</v>
      </c>
      <c r="B220" s="18" t="str">
        <f>"3024000000"</f>
        <v>3024000000</v>
      </c>
      <c r="C220" s="18" t="str">
        <f>"Portable Structure bldg parts"</f>
        <v>Portable Structure bldg parts</v>
      </c>
      <c r="D220" s="18" t="s">
        <v>1895</v>
      </c>
    </row>
    <row r="221" spans="1:4">
      <c r="A221" s="18" t="s">
        <v>300</v>
      </c>
      <c r="B221" s="18" t="str">
        <f>"3025000000"</f>
        <v>3025000000</v>
      </c>
      <c r="C221" s="18" t="str">
        <f>"Underground mining mtrls"</f>
        <v>Underground mining mtrls</v>
      </c>
      <c r="D221" s="18" t="s">
        <v>1895</v>
      </c>
    </row>
    <row r="222" spans="1:4" ht="27">
      <c r="A222" s="18" t="s">
        <v>300</v>
      </c>
      <c r="B222" s="18" t="str">
        <f>"3025000080"</f>
        <v>3025000080</v>
      </c>
      <c r="C222" s="18" t="str">
        <f>"Underground mining mtrls - Haz"</f>
        <v>Underground mining mtrls - Haz</v>
      </c>
      <c r="D222" s="18" t="s">
        <v>1895</v>
      </c>
    </row>
    <row r="223" spans="1:4">
      <c r="A223" s="18" t="s">
        <v>300</v>
      </c>
      <c r="B223" s="18" t="str">
        <f>"3100000000"</f>
        <v>3100000000</v>
      </c>
      <c r="C223" s="18" t="str">
        <f>"3100000000"</f>
        <v>3100000000</v>
      </c>
      <c r="D223" s="18" t="s">
        <v>1895</v>
      </c>
    </row>
    <row r="224" spans="1:4">
      <c r="A224" s="18" t="s">
        <v>300</v>
      </c>
      <c r="B224" s="18" t="str">
        <f>"3110000000"</f>
        <v>3110000000</v>
      </c>
      <c r="C224" s="18" t="str">
        <f>"Castings"</f>
        <v>Castings</v>
      </c>
      <c r="D224" s="18" t="s">
        <v>1895</v>
      </c>
    </row>
    <row r="225" spans="1:4">
      <c r="A225" s="18" t="s">
        <v>300</v>
      </c>
      <c r="B225" s="18" t="str">
        <f>"3111000000"</f>
        <v>3111000000</v>
      </c>
      <c r="C225" s="18" t="str">
        <f>"Extrusions"</f>
        <v>Extrusions</v>
      </c>
      <c r="D225" s="18" t="s">
        <v>1895</v>
      </c>
    </row>
    <row r="226" spans="1:4">
      <c r="A226" s="18" t="s">
        <v>300</v>
      </c>
      <c r="B226" s="18" t="str">
        <f>"3112000000"</f>
        <v>3112000000</v>
      </c>
      <c r="C226" s="18" t="str">
        <f>"Machined castings"</f>
        <v>Machined castings</v>
      </c>
      <c r="D226" s="18" t="s">
        <v>1895</v>
      </c>
    </row>
    <row r="227" spans="1:4">
      <c r="A227" s="18" t="s">
        <v>300</v>
      </c>
      <c r="B227" s="18" t="str">
        <f>"3113000000"</f>
        <v>3113000000</v>
      </c>
      <c r="C227" s="18" t="str">
        <f>"Forgings"</f>
        <v>Forgings</v>
      </c>
      <c r="D227" s="18" t="s">
        <v>1895</v>
      </c>
    </row>
    <row r="228" spans="1:4">
      <c r="A228" s="18" t="s">
        <v>300</v>
      </c>
      <c r="B228" s="18" t="str">
        <f>"3114000000"</f>
        <v>3114000000</v>
      </c>
      <c r="C228" s="18" t="str">
        <f>"Moldings"</f>
        <v>Moldings</v>
      </c>
      <c r="D228" s="18" t="s">
        <v>1895</v>
      </c>
    </row>
    <row r="229" spans="1:4">
      <c r="A229" s="18" t="s">
        <v>300</v>
      </c>
      <c r="B229" s="18" t="str">
        <f>"3115000000"</f>
        <v>3115000000</v>
      </c>
      <c r="C229" s="18" t="str">
        <f>"Rope, chain, cable, wire, etc"</f>
        <v>Rope, chain, cable, wire, etc</v>
      </c>
      <c r="D229" s="18" t="s">
        <v>1895</v>
      </c>
    </row>
    <row r="230" spans="1:4">
      <c r="A230" s="18" t="s">
        <v>300</v>
      </c>
      <c r="B230" s="18" t="str">
        <f>"3116000000"</f>
        <v>3116000000</v>
      </c>
      <c r="C230" s="18" t="str">
        <f>"Hardware"</f>
        <v>Hardware</v>
      </c>
      <c r="D230" s="18" t="s">
        <v>1895</v>
      </c>
    </row>
    <row r="231" spans="1:4">
      <c r="A231" s="18" t="s">
        <v>300</v>
      </c>
      <c r="B231" s="18" t="str">
        <f>"3117000000"</f>
        <v>3117000000</v>
      </c>
      <c r="C231" s="18" t="str">
        <f>"Bearings, bushings, gears, etc"</f>
        <v>Bearings, bushings, gears, etc</v>
      </c>
      <c r="D231" s="18" t="s">
        <v>1895</v>
      </c>
    </row>
    <row r="232" spans="1:4">
      <c r="A232" s="18" t="s">
        <v>300</v>
      </c>
      <c r="B232" s="18" t="str">
        <f>"3118000000"</f>
        <v>3118000000</v>
      </c>
      <c r="C232" s="18" t="str">
        <f>"Gaskets &amp; seals"</f>
        <v>Gaskets &amp; seals</v>
      </c>
      <c r="D232" s="18" t="s">
        <v>1895</v>
      </c>
    </row>
    <row r="233" spans="1:4">
      <c r="A233" s="18" t="s">
        <v>300</v>
      </c>
      <c r="B233" s="18" t="str">
        <f>"3119000000"</f>
        <v>3119000000</v>
      </c>
      <c r="C233" s="18" t="str">
        <f>"Grinding &amp; polish mtrls"</f>
        <v>Grinding &amp; polish mtrls</v>
      </c>
      <c r="D233" s="18" t="s">
        <v>1895</v>
      </c>
    </row>
    <row r="234" spans="1:4">
      <c r="A234" s="18" t="s">
        <v>300</v>
      </c>
      <c r="B234" s="18" t="str">
        <f>"3119000080"</f>
        <v>3119000080</v>
      </c>
      <c r="C234" s="18" t="str">
        <f>"Grinding &amp; polish mtrls - Haz"</f>
        <v>Grinding &amp; polish mtrls - Haz</v>
      </c>
      <c r="D234" s="18" t="s">
        <v>1895</v>
      </c>
    </row>
    <row r="235" spans="1:4">
      <c r="A235" s="18" t="s">
        <v>300</v>
      </c>
      <c r="B235" s="18" t="str">
        <f>"3120000000"</f>
        <v>3120000000</v>
      </c>
      <c r="C235" s="18" t="str">
        <f>"Adhesives &amp; sealants"</f>
        <v>Adhesives &amp; sealants</v>
      </c>
      <c r="D235" s="18" t="s">
        <v>1895</v>
      </c>
    </row>
    <row r="236" spans="1:4">
      <c r="A236" s="18" t="s">
        <v>300</v>
      </c>
      <c r="B236" s="18" t="str">
        <f>"3120000080"</f>
        <v>3120000080</v>
      </c>
      <c r="C236" s="18" t="str">
        <f>"Adhesives &amp; sealants - Haz"</f>
        <v>Adhesives &amp; sealants - Haz</v>
      </c>
      <c r="D236" s="18" t="s">
        <v>1895</v>
      </c>
    </row>
    <row r="237" spans="1:4">
      <c r="A237" s="18" t="s">
        <v>300</v>
      </c>
      <c r="B237" s="18" t="str">
        <f>"3121000000"</f>
        <v>3121000000</v>
      </c>
      <c r="C237" s="18" t="str">
        <f>"Paint, primer, finishes"</f>
        <v>Paint, primer, finishes</v>
      </c>
      <c r="D237" s="18" t="s">
        <v>1895</v>
      </c>
    </row>
    <row r="238" spans="1:4">
      <c r="A238" s="18" t="s">
        <v>300</v>
      </c>
      <c r="B238" s="18" t="str">
        <f>"3121000080"</f>
        <v>3121000080</v>
      </c>
      <c r="C238" s="18" t="str">
        <f>"Paint, primer, finishes - Haz"</f>
        <v>Paint, primer, finishes - Haz</v>
      </c>
      <c r="D238" s="18" t="s">
        <v>1895</v>
      </c>
    </row>
    <row r="239" spans="1:4">
      <c r="A239" s="18" t="s">
        <v>300</v>
      </c>
      <c r="B239" s="18" t="str">
        <f>"3122000000"</f>
        <v>3122000000</v>
      </c>
      <c r="C239" s="18" t="str">
        <f>"Dyeing &amp; tanning extract"</f>
        <v>Dyeing &amp; tanning extract</v>
      </c>
      <c r="D239" s="18" t="s">
        <v>1895</v>
      </c>
    </row>
    <row r="240" spans="1:4">
      <c r="A240" s="18" t="s">
        <v>300</v>
      </c>
      <c r="B240" s="18" t="str">
        <f>"3122000080"</f>
        <v>3122000080</v>
      </c>
      <c r="C240" s="18" t="str">
        <f>"Dyeing &amp; tanning extract - Haz"</f>
        <v>Dyeing &amp; tanning extract - Haz</v>
      </c>
      <c r="D240" s="18" t="s">
        <v>1895</v>
      </c>
    </row>
    <row r="241" spans="1:4">
      <c r="A241" s="18" t="s">
        <v>300</v>
      </c>
      <c r="B241" s="18" t="str">
        <f>"3123000000"</f>
        <v>3123000000</v>
      </c>
      <c r="C241" s="18" t="str">
        <f>"Machined raw stock"</f>
        <v>Machined raw stock</v>
      </c>
      <c r="D241" s="18" t="s">
        <v>1895</v>
      </c>
    </row>
    <row r="242" spans="1:4">
      <c r="A242" s="18" t="s">
        <v>300</v>
      </c>
      <c r="B242" s="18" t="str">
        <f>"3124000000"</f>
        <v>3124000000</v>
      </c>
      <c r="C242" s="18" t="str">
        <f>"indstrl optics"</f>
        <v>indstrl optics</v>
      </c>
      <c r="D242" s="18" t="s">
        <v>1895</v>
      </c>
    </row>
    <row r="243" spans="1:4">
      <c r="A243" s="18" t="s">
        <v>300</v>
      </c>
      <c r="B243" s="18" t="str">
        <f>"3125000000"</f>
        <v>3125000000</v>
      </c>
      <c r="C243" s="18" t="str">
        <f>"Pneumatic, hydraulic ctrl syst"</f>
        <v>Pneumatic, hydraulic ctrl syst</v>
      </c>
      <c r="D243" s="18" t="s">
        <v>1895</v>
      </c>
    </row>
    <row r="244" spans="1:4">
      <c r="A244" s="18" t="s">
        <v>300</v>
      </c>
      <c r="B244" s="18" t="str">
        <f>"3126000000"</f>
        <v>3126000000</v>
      </c>
      <c r="C244" s="18" t="str">
        <f>"Housings &amp; cabinets &amp; casings"</f>
        <v>Housings &amp; cabinets &amp; casings</v>
      </c>
      <c r="D244" s="18" t="s">
        <v>1895</v>
      </c>
    </row>
    <row r="245" spans="1:4">
      <c r="A245" s="18" t="s">
        <v>300</v>
      </c>
      <c r="B245" s="18" t="str">
        <f>"3127000000"</f>
        <v>3127000000</v>
      </c>
      <c r="C245" s="18" t="str">
        <f>"Machine made parts"</f>
        <v>Machine made parts</v>
      </c>
      <c r="D245" s="18" t="s">
        <v>1895</v>
      </c>
    </row>
    <row r="246" spans="1:4">
      <c r="A246" s="18" t="s">
        <v>300</v>
      </c>
      <c r="B246" s="18" t="str">
        <f>"3127000080"</f>
        <v>3127000080</v>
      </c>
      <c r="C246" s="18" t="str">
        <f>"Machine made parts - Haz"</f>
        <v>Machine made parts - Haz</v>
      </c>
      <c r="D246" s="18" t="s">
        <v>1895</v>
      </c>
    </row>
    <row r="247" spans="1:4">
      <c r="A247" s="18" t="s">
        <v>300</v>
      </c>
      <c r="B247" s="18" t="str">
        <f>"3128000000"</f>
        <v>3128000000</v>
      </c>
      <c r="C247" s="18" t="str">
        <f>"Stampings &amp; sheet parts"</f>
        <v>Stampings &amp; sheet parts</v>
      </c>
      <c r="D247" s="18" t="s">
        <v>1895</v>
      </c>
    </row>
    <row r="248" spans="1:4">
      <c r="A248" s="18" t="s">
        <v>300</v>
      </c>
      <c r="B248" s="18" t="str">
        <f>"3128000080"</f>
        <v>3128000080</v>
      </c>
      <c r="C248" s="18" t="str">
        <f>"Stampings &amp; sheet parts - Haz"</f>
        <v>Stampings &amp; sheet parts - Haz</v>
      </c>
      <c r="D248" s="18" t="s">
        <v>1895</v>
      </c>
    </row>
    <row r="249" spans="1:4">
      <c r="A249" s="18" t="s">
        <v>300</v>
      </c>
      <c r="B249" s="18" t="str">
        <f>"3129000000"</f>
        <v>3129000000</v>
      </c>
      <c r="C249" s="18" t="str">
        <f>"Machined extrusions"</f>
        <v>Machined extrusions</v>
      </c>
      <c r="D249" s="18" t="s">
        <v>1895</v>
      </c>
    </row>
    <row r="250" spans="1:4">
      <c r="A250" s="18" t="s">
        <v>300</v>
      </c>
      <c r="B250" s="18" t="str">
        <f>"3129000080"</f>
        <v>3129000080</v>
      </c>
      <c r="C250" s="18" t="str">
        <f>"Machined extrusions - Haz"</f>
        <v>Machined extrusions - Haz</v>
      </c>
      <c r="D250" s="18" t="s">
        <v>1895</v>
      </c>
    </row>
    <row r="251" spans="1:4">
      <c r="A251" s="18" t="s">
        <v>300</v>
      </c>
      <c r="B251" s="18" t="str">
        <f>"3130000000"</f>
        <v>3130000000</v>
      </c>
      <c r="C251" s="18" t="str">
        <f>"Machined forgings"</f>
        <v>Machined forgings</v>
      </c>
      <c r="D251" s="18" t="s">
        <v>1895</v>
      </c>
    </row>
    <row r="252" spans="1:4">
      <c r="A252" s="18" t="s">
        <v>300</v>
      </c>
      <c r="B252" s="18" t="str">
        <f>"3130000080"</f>
        <v>3130000080</v>
      </c>
      <c r="C252" s="18" t="str">
        <f>"Machined forgings - Haz"</f>
        <v>Machined forgings - Haz</v>
      </c>
      <c r="D252" s="18" t="s">
        <v>1895</v>
      </c>
    </row>
    <row r="253" spans="1:4">
      <c r="A253" s="18" t="s">
        <v>300</v>
      </c>
      <c r="B253" s="18" t="str">
        <f>"3131000000"</f>
        <v>3131000000</v>
      </c>
      <c r="C253" s="18" t="str">
        <f>"Fabricated pipe asmblis"</f>
        <v>Fabricated pipe asmblis</v>
      </c>
      <c r="D253" s="18" t="s">
        <v>1895</v>
      </c>
    </row>
    <row r="254" spans="1:4">
      <c r="A254" s="18" t="s">
        <v>300</v>
      </c>
      <c r="B254" s="18" t="str">
        <f>"3132000000"</f>
        <v>3132000000</v>
      </c>
      <c r="C254" s="18" t="str">
        <f>"Fabricated bar stock asmblis"</f>
        <v>Fabricated bar stock asmblis</v>
      </c>
      <c r="D254" s="18" t="s">
        <v>1895</v>
      </c>
    </row>
    <row r="255" spans="1:4">
      <c r="A255" s="18" t="s">
        <v>300</v>
      </c>
      <c r="B255" s="18" t="str">
        <f>"3133000000"</f>
        <v>3133000000</v>
      </c>
      <c r="C255" s="18" t="str">
        <f>"Fabricated structural asmblis"</f>
        <v>Fabricated structural asmblis</v>
      </c>
      <c r="D255" s="18" t="s">
        <v>1895</v>
      </c>
    </row>
    <row r="256" spans="1:4">
      <c r="A256" s="18" t="s">
        <v>300</v>
      </c>
      <c r="B256" s="18" t="str">
        <f>"3134000000"</f>
        <v>3134000000</v>
      </c>
      <c r="C256" s="18" t="str">
        <f>"Fabricated sheet asmblis"</f>
        <v>Fabricated sheet asmblis</v>
      </c>
      <c r="D256" s="18" t="s">
        <v>1895</v>
      </c>
    </row>
    <row r="257" spans="1:4">
      <c r="A257" s="18" t="s">
        <v>300</v>
      </c>
      <c r="B257" s="18" t="str">
        <f>"3135000000"</f>
        <v>3135000000</v>
      </c>
      <c r="C257" s="18" t="str">
        <f>"Fabricated tube asmblis"</f>
        <v>Fabricated tube asmblis</v>
      </c>
      <c r="D257" s="18" t="s">
        <v>1895</v>
      </c>
    </row>
    <row r="258" spans="1:4">
      <c r="A258" s="18" t="s">
        <v>300</v>
      </c>
      <c r="B258" s="18" t="str">
        <f>"3136000000"</f>
        <v>3136000000</v>
      </c>
      <c r="C258" s="18" t="str">
        <f>"Fabricated plate asmblis"</f>
        <v>Fabricated plate asmblis</v>
      </c>
      <c r="D258" s="18" t="s">
        <v>1895</v>
      </c>
    </row>
    <row r="259" spans="1:4">
      <c r="A259" s="18" t="s">
        <v>300</v>
      </c>
      <c r="B259" s="18" t="str">
        <f>"3137000000"</f>
        <v>3137000000</v>
      </c>
      <c r="C259" s="18" t="str">
        <f>"Refractories"</f>
        <v>Refractories</v>
      </c>
      <c r="D259" s="18" t="s">
        <v>1895</v>
      </c>
    </row>
    <row r="260" spans="1:4">
      <c r="A260" s="18" t="s">
        <v>300</v>
      </c>
      <c r="B260" s="18" t="str">
        <f>"3138000000"</f>
        <v>3138000000</v>
      </c>
      <c r="C260" s="18" t="str">
        <f>"Magnets &amp; magnetic mtrls"</f>
        <v>Magnets &amp; magnetic mtrls</v>
      </c>
      <c r="D260" s="18" t="s">
        <v>1895</v>
      </c>
    </row>
    <row r="261" spans="1:4">
      <c r="A261" s="18" t="s">
        <v>300</v>
      </c>
      <c r="B261" s="18" t="str">
        <f>"3200000000"</f>
        <v>3200000000</v>
      </c>
      <c r="C261" s="18" t="str">
        <f>"3200000000"</f>
        <v>3200000000</v>
      </c>
      <c r="D261" s="18" t="s">
        <v>1895</v>
      </c>
    </row>
    <row r="262" spans="1:4">
      <c r="A262" s="18" t="s">
        <v>300</v>
      </c>
      <c r="B262" s="18" t="str">
        <f>"3210000000"</f>
        <v>3210000000</v>
      </c>
      <c r="C262" s="18" t="str">
        <f>"Circuitry &amp; microasmblis"</f>
        <v>Circuitry &amp; microasmblis</v>
      </c>
      <c r="D262" s="18" t="s">
        <v>1895</v>
      </c>
    </row>
    <row r="263" spans="1:4" ht="27">
      <c r="A263" s="18" t="s">
        <v>300</v>
      </c>
      <c r="B263" s="18" t="str">
        <f>"3211000000"</f>
        <v>3211000000</v>
      </c>
      <c r="C263" s="18" t="str">
        <f>"Discrete semiconductor devices"</f>
        <v>Discrete semiconductor devices</v>
      </c>
      <c r="D263" s="18" t="s">
        <v>1895</v>
      </c>
    </row>
    <row r="264" spans="1:4">
      <c r="A264" s="18" t="s">
        <v>300</v>
      </c>
      <c r="B264" s="18" t="str">
        <f>"3212000000"</f>
        <v>3212000000</v>
      </c>
      <c r="C264" s="18" t="str">
        <f>"Passive discrete parts"</f>
        <v>Passive discrete parts</v>
      </c>
      <c r="D264" s="18" t="s">
        <v>1895</v>
      </c>
    </row>
    <row r="265" spans="1:4">
      <c r="A265" s="18" t="s">
        <v>300</v>
      </c>
      <c r="B265" s="18" t="str">
        <f>"3213000000"</f>
        <v>3213000000</v>
      </c>
      <c r="C265" s="18" t="str">
        <f>"Electronic hdwr &amp; parts"</f>
        <v>Electronic hdwr &amp; parts</v>
      </c>
      <c r="D265" s="18" t="s">
        <v>1895</v>
      </c>
    </row>
    <row r="266" spans="1:4">
      <c r="A266" s="18" t="s">
        <v>300</v>
      </c>
      <c r="B266" s="18" t="str">
        <f>"3213000080"</f>
        <v>3213000080</v>
      </c>
      <c r="C266" s="18" t="str">
        <f>"Electronic hdwr &amp; parts - Haz"</f>
        <v>Electronic hdwr &amp; parts - Haz</v>
      </c>
      <c r="D266" s="18" t="s">
        <v>1895</v>
      </c>
    </row>
    <row r="267" spans="1:4">
      <c r="A267" s="18" t="s">
        <v>300</v>
      </c>
      <c r="B267" s="18" t="str">
        <f>"3214000000"</f>
        <v>3214000000</v>
      </c>
      <c r="C267" s="18" t="str">
        <f>"Electron tubes &amp; accssrs"</f>
        <v>Electron tubes &amp; accssrs</v>
      </c>
      <c r="D267" s="18" t="s">
        <v>1895</v>
      </c>
    </row>
    <row r="268" spans="1:4">
      <c r="A268" s="18" t="s">
        <v>300</v>
      </c>
      <c r="B268" s="18" t="str">
        <f>"3214000080"</f>
        <v>3214000080</v>
      </c>
      <c r="C268" s="18" t="str">
        <f>"Electron tubes &amp; accssrs - Haz"</f>
        <v>Electron tubes &amp; accssrs - Haz</v>
      </c>
      <c r="D268" s="18" t="s">
        <v>1895</v>
      </c>
    </row>
    <row r="269" spans="1:4">
      <c r="A269" s="18" t="s">
        <v>300</v>
      </c>
      <c r="B269" s="18" t="str">
        <f>"3215000000"</f>
        <v>3215000000</v>
      </c>
      <c r="C269" s="18" t="str">
        <f>"Automation ctrl devices"</f>
        <v>Automation ctrl devices</v>
      </c>
      <c r="D269" s="18" t="s">
        <v>1895</v>
      </c>
    </row>
    <row r="270" spans="1:4">
      <c r="A270" s="18" t="s">
        <v>300</v>
      </c>
      <c r="B270" s="18" t="str">
        <f>"3900000000"</f>
        <v>3900000000</v>
      </c>
      <c r="C270" s="18" t="str">
        <f>"3900000000"</f>
        <v>3900000000</v>
      </c>
      <c r="D270" s="18" t="s">
        <v>1895</v>
      </c>
    </row>
    <row r="271" spans="1:4">
      <c r="A271" s="18" t="s">
        <v>300</v>
      </c>
      <c r="B271" s="18" t="str">
        <f>"3910000000"</f>
        <v>3910000000</v>
      </c>
      <c r="C271" s="18" t="str">
        <f>"Lamps, bulbs &amp; parts"</f>
        <v>Lamps, bulbs &amp; parts</v>
      </c>
      <c r="D271" s="18" t="s">
        <v>1895</v>
      </c>
    </row>
    <row r="272" spans="1:4">
      <c r="A272" s="18" t="s">
        <v>300</v>
      </c>
      <c r="B272" s="18" t="str">
        <f>"3910000080"</f>
        <v>3910000080</v>
      </c>
      <c r="C272" s="18" t="str">
        <f>"Lamps, bulbs &amp; parts - Haz"</f>
        <v>Lamps, bulbs &amp; parts - Haz</v>
      </c>
      <c r="D272" s="18" t="s">
        <v>1895</v>
      </c>
    </row>
    <row r="273" spans="1:4">
      <c r="A273" s="18" t="s">
        <v>300</v>
      </c>
      <c r="B273" s="18" t="str">
        <f>"3911000000"</f>
        <v>3911000000</v>
      </c>
      <c r="C273" s="18" t="str">
        <f>"Light Fixtures &amp; parts"</f>
        <v>Light Fixtures &amp; parts</v>
      </c>
      <c r="D273" s="18" t="s">
        <v>1895</v>
      </c>
    </row>
    <row r="274" spans="1:4">
      <c r="A274" s="18" t="s">
        <v>300</v>
      </c>
      <c r="B274" s="18" t="str">
        <f>"3911000080"</f>
        <v>3911000080</v>
      </c>
      <c r="C274" s="18" t="str">
        <f>"Light Fixtures &amp; parts - Haz"</f>
        <v>Light Fixtures &amp; parts - Haz</v>
      </c>
      <c r="D274" s="18" t="s">
        <v>1895</v>
      </c>
    </row>
    <row r="275" spans="1:4">
      <c r="A275" s="18" t="s">
        <v>300</v>
      </c>
      <c r="B275" s="18" t="str">
        <f>"3912000000"</f>
        <v>3912000000</v>
      </c>
      <c r="C275" s="18" t="str">
        <f>"Electrical equip &amp; parts"</f>
        <v>Electrical equip &amp; parts</v>
      </c>
      <c r="D275" s="18" t="s">
        <v>1895</v>
      </c>
    </row>
    <row r="276" spans="1:4">
      <c r="A276" s="18" t="s">
        <v>300</v>
      </c>
      <c r="B276" s="18" t="str">
        <f>"3913000000"</f>
        <v>3913000000</v>
      </c>
      <c r="C276" s="18" t="str">
        <f>"Electrical wire mgmt supplies"</f>
        <v>Electrical wire mgmt supplies</v>
      </c>
      <c r="D276" s="18" t="s">
        <v>1895</v>
      </c>
    </row>
    <row r="277" spans="1:4">
      <c r="A277" s="18" t="s">
        <v>300</v>
      </c>
      <c r="B277" s="18" t="str">
        <f>"4000000000"</f>
        <v>4000000000</v>
      </c>
      <c r="C277" s="18" t="str">
        <f>"4000000000"</f>
        <v>4000000000</v>
      </c>
      <c r="D277" s="18" t="s">
        <v>1895</v>
      </c>
    </row>
    <row r="278" spans="1:4">
      <c r="A278" s="18" t="s">
        <v>300</v>
      </c>
      <c r="B278" s="18" t="str">
        <f>"4010000000"</f>
        <v>4010000000</v>
      </c>
      <c r="C278" s="18" t="str">
        <f>"HVAC equip"</f>
        <v>HVAC equip</v>
      </c>
      <c r="D278" s="18" t="s">
        <v>1895</v>
      </c>
    </row>
    <row r="279" spans="1:4">
      <c r="A279" s="18" t="s">
        <v>300</v>
      </c>
      <c r="B279" s="18" t="str">
        <f>"4010000090"</f>
        <v>4010000090</v>
      </c>
      <c r="C279" s="18" t="str">
        <f>"HVAC equip - Grn"</f>
        <v>HVAC equip - Grn</v>
      </c>
      <c r="D279" s="18" t="s">
        <v>1895</v>
      </c>
    </row>
    <row r="280" spans="1:4">
      <c r="A280" s="18" t="s">
        <v>300</v>
      </c>
      <c r="B280" s="18" t="str">
        <f>"4014000000"</f>
        <v>4014000000</v>
      </c>
      <c r="C280" s="18" t="str">
        <f>"Fluid &amp; gas distribution"</f>
        <v>Fluid &amp; gas distribution</v>
      </c>
      <c r="D280" s="18" t="s">
        <v>1895</v>
      </c>
    </row>
    <row r="281" spans="1:4">
      <c r="A281" s="18" t="s">
        <v>300</v>
      </c>
      <c r="B281" s="18" t="str">
        <f>"4014000080"</f>
        <v>4014000080</v>
      </c>
      <c r="C281" s="18" t="str">
        <f>"Fluid &amp; gas distribution - Haz"</f>
        <v>Fluid &amp; gas distribution - Haz</v>
      </c>
      <c r="D281" s="18" t="s">
        <v>1895</v>
      </c>
    </row>
    <row r="282" spans="1:4">
      <c r="A282" s="18" t="s">
        <v>300</v>
      </c>
      <c r="B282" s="18" t="str">
        <f>"4015000000"</f>
        <v>4015000000</v>
      </c>
      <c r="C282" s="18" t="str">
        <f>"Pumps &amp; compressors"</f>
        <v>Pumps &amp; compressors</v>
      </c>
      <c r="D282" s="18" t="s">
        <v>1895</v>
      </c>
    </row>
    <row r="283" spans="1:4">
      <c r="A283" s="18" t="s">
        <v>300</v>
      </c>
      <c r="B283" s="18" t="str">
        <f>"4015000080"</f>
        <v>4015000080</v>
      </c>
      <c r="C283" s="18" t="str">
        <f>"Pumps &amp; compressors - Haz"</f>
        <v>Pumps &amp; compressors - Haz</v>
      </c>
      <c r="D283" s="18" t="s">
        <v>1895</v>
      </c>
    </row>
    <row r="284" spans="1:4">
      <c r="A284" s="18" t="s">
        <v>300</v>
      </c>
      <c r="B284" s="18" t="str">
        <f>"4016000000"</f>
        <v>4016000000</v>
      </c>
      <c r="C284" s="18" t="str">
        <f>"Filtering &amp; purification"</f>
        <v>Filtering &amp; purification</v>
      </c>
      <c r="D284" s="18" t="s">
        <v>1895</v>
      </c>
    </row>
    <row r="285" spans="1:4">
      <c r="A285" s="18" t="s">
        <v>300</v>
      </c>
      <c r="B285" s="18" t="str">
        <f>"4016000080"</f>
        <v>4016000080</v>
      </c>
      <c r="C285" s="18" t="str">
        <f>"Filtering &amp; purification - Haz"</f>
        <v>Filtering &amp; purification - Haz</v>
      </c>
      <c r="D285" s="18" t="s">
        <v>1895</v>
      </c>
    </row>
    <row r="286" spans="1:4">
      <c r="A286" s="18" t="s">
        <v>300</v>
      </c>
      <c r="B286" s="18" t="str">
        <f>"4100000000"</f>
        <v>4100000000</v>
      </c>
      <c r="C286" s="18" t="str">
        <f>"4100000000"</f>
        <v>4100000000</v>
      </c>
      <c r="D286" s="18" t="s">
        <v>1895</v>
      </c>
    </row>
    <row r="287" spans="1:4">
      <c r="A287" s="18" t="s">
        <v>300</v>
      </c>
      <c r="B287" s="18" t="str">
        <f>"4110000000"</f>
        <v>4110000000</v>
      </c>
      <c r="C287" s="18" t="str">
        <f>"Laboratory &amp; scientific equip"</f>
        <v>Laboratory &amp; scientific equip</v>
      </c>
      <c r="D287" s="18" t="s">
        <v>1895</v>
      </c>
    </row>
    <row r="288" spans="1:4">
      <c r="A288" s="18" t="s">
        <v>300</v>
      </c>
      <c r="B288" s="18" t="str">
        <f>"4111000000"</f>
        <v>4111000000</v>
      </c>
      <c r="C288" s="18" t="str">
        <f>"Measuring, testing instruments"</f>
        <v>Measuring, testing instruments</v>
      </c>
      <c r="D288" s="18" t="s">
        <v>1895</v>
      </c>
    </row>
    <row r="289" spans="1:4">
      <c r="A289" s="18" t="s">
        <v>300</v>
      </c>
      <c r="B289" s="18" t="str">
        <f>"4112000000"</f>
        <v>4112000000</v>
      </c>
      <c r="C289" s="18" t="str">
        <f>"Laboratory supplies &amp; fixtures"</f>
        <v>Laboratory supplies &amp; fixtures</v>
      </c>
      <c r="D289" s="18" t="s">
        <v>1895</v>
      </c>
    </row>
    <row r="290" spans="1:4">
      <c r="A290" s="18" t="s">
        <v>300</v>
      </c>
      <c r="B290" s="18" t="str">
        <f>"4200000000"</f>
        <v>4200000000</v>
      </c>
      <c r="C290" s="18" t="str">
        <f>"4200000000"</f>
        <v>4200000000</v>
      </c>
      <c r="D290" s="18" t="s">
        <v>1895</v>
      </c>
    </row>
    <row r="291" spans="1:4">
      <c r="A291" s="18" t="s">
        <v>300</v>
      </c>
      <c r="B291" s="18" t="str">
        <f>"4212000000"</f>
        <v>4212000000</v>
      </c>
      <c r="C291" s="18" t="str">
        <f>"Veterinary equip &amp; supplies"</f>
        <v>Veterinary equip &amp; supplies</v>
      </c>
      <c r="D291" s="18" t="s">
        <v>1895</v>
      </c>
    </row>
    <row r="292" spans="1:4">
      <c r="A292" s="18" t="s">
        <v>300</v>
      </c>
      <c r="B292" s="18" t="str">
        <f>"4213000000"</f>
        <v>4213000000</v>
      </c>
      <c r="C292" s="18" t="str">
        <f>"Med apparel &amp; textiles"</f>
        <v>Med apparel &amp; textiles</v>
      </c>
      <c r="D292" s="18" t="s">
        <v>1895</v>
      </c>
    </row>
    <row r="293" spans="1:4">
      <c r="A293" s="18" t="s">
        <v>300</v>
      </c>
      <c r="B293" s="18" t="str">
        <f>"4214000000"</f>
        <v>4214000000</v>
      </c>
      <c r="C293" s="18" t="str">
        <f>"Patient treatment supplies"</f>
        <v>Patient treatment supplies</v>
      </c>
      <c r="D293" s="18" t="s">
        <v>1895</v>
      </c>
    </row>
    <row r="294" spans="1:4">
      <c r="A294" s="18" t="s">
        <v>300</v>
      </c>
      <c r="B294" s="18" t="str">
        <f>"4215000000"</f>
        <v>4215000000</v>
      </c>
      <c r="C294" s="18" t="str">
        <f>"Dental equip &amp; supplies"</f>
        <v>Dental equip &amp; supplies</v>
      </c>
      <c r="D294" s="18" t="s">
        <v>1895</v>
      </c>
    </row>
    <row r="295" spans="1:4">
      <c r="A295" s="18" t="s">
        <v>300</v>
      </c>
      <c r="B295" s="18" t="str">
        <f>"4216000000"</f>
        <v>4216000000</v>
      </c>
      <c r="C295" s="18" t="str">
        <f>"Dialysis equip &amp; supplies"</f>
        <v>Dialysis equip &amp; supplies</v>
      </c>
      <c r="D295" s="18" t="s">
        <v>1895</v>
      </c>
    </row>
    <row r="296" spans="1:4">
      <c r="A296" s="18" t="s">
        <v>300</v>
      </c>
      <c r="B296" s="18" t="str">
        <f>"4217000000"</f>
        <v>4217000000</v>
      </c>
      <c r="C296" s="18" t="str">
        <f>"Emergency Med products"</f>
        <v>Emergency Med products</v>
      </c>
      <c r="D296" s="18" t="s">
        <v>1895</v>
      </c>
    </row>
    <row r="297" spans="1:4">
      <c r="A297" s="18" t="s">
        <v>300</v>
      </c>
      <c r="B297" s="18" t="str">
        <f>"4218000000"</f>
        <v>4218000000</v>
      </c>
      <c r="C297" s="18" t="str">
        <f>"Patient exam products"</f>
        <v>Patient exam products</v>
      </c>
      <c r="D297" s="18" t="s">
        <v>1895</v>
      </c>
    </row>
    <row r="298" spans="1:4">
      <c r="A298" s="18" t="s">
        <v>300</v>
      </c>
      <c r="B298" s="18" t="str">
        <f>"4219000000"</f>
        <v>4219000000</v>
      </c>
      <c r="C298" s="18" t="str">
        <f>"Med facility products"</f>
        <v>Med facility products</v>
      </c>
      <c r="D298" s="18" t="s">
        <v>1895</v>
      </c>
    </row>
    <row r="299" spans="1:4">
      <c r="A299" s="18" t="s">
        <v>300</v>
      </c>
      <c r="B299" s="18" t="str">
        <f>"4220000000"</f>
        <v>4220000000</v>
      </c>
      <c r="C299" s="18" t="str">
        <f>"Med diagnostic products"</f>
        <v>Med diagnostic products</v>
      </c>
      <c r="D299" s="18" t="s">
        <v>1895</v>
      </c>
    </row>
    <row r="300" spans="1:4">
      <c r="A300" s="18" t="s">
        <v>300</v>
      </c>
      <c r="B300" s="18" t="str">
        <f>"4221000000"</f>
        <v>4221000000</v>
      </c>
      <c r="C300" s="18" t="str">
        <f>"Aids for ADA compliance"</f>
        <v>Aids for ADA compliance</v>
      </c>
      <c r="D300" s="18" t="s">
        <v>1895</v>
      </c>
    </row>
    <row r="301" spans="1:4">
      <c r="A301" s="18" t="s">
        <v>300</v>
      </c>
      <c r="B301" s="18" t="str">
        <f>"4222000000"</f>
        <v>4222000000</v>
      </c>
      <c r="C301" s="18" t="str">
        <f>"Intravenous products"</f>
        <v>Intravenous products</v>
      </c>
      <c r="D301" s="18" t="s">
        <v>1895</v>
      </c>
    </row>
    <row r="302" spans="1:4">
      <c r="A302" s="18" t="s">
        <v>300</v>
      </c>
      <c r="B302" s="18" t="str">
        <f>"4223000000"</f>
        <v>4223000000</v>
      </c>
      <c r="C302" s="18" t="str">
        <f>"Clinical nutrition"</f>
        <v>Clinical nutrition</v>
      </c>
      <c r="D302" s="18" t="s">
        <v>1895</v>
      </c>
    </row>
    <row r="303" spans="1:4">
      <c r="A303" s="18" t="s">
        <v>300</v>
      </c>
      <c r="B303" s="18" t="str">
        <f>"4224000000"</f>
        <v>4224000000</v>
      </c>
      <c r="C303" s="18" t="str">
        <f>"Orthopedic products"</f>
        <v>Orthopedic products</v>
      </c>
      <c r="D303" s="18" t="s">
        <v>1895</v>
      </c>
    </row>
    <row r="304" spans="1:4">
      <c r="A304" s="18" t="s">
        <v>300</v>
      </c>
      <c r="B304" s="18" t="str">
        <f>"4225000000"</f>
        <v>4225000000</v>
      </c>
      <c r="C304" s="18" t="str">
        <f>"Physical Therapy products"</f>
        <v>Physical Therapy products</v>
      </c>
      <c r="D304" s="18" t="s">
        <v>1895</v>
      </c>
    </row>
    <row r="305" spans="1:4">
      <c r="A305" s="18" t="s">
        <v>300</v>
      </c>
      <c r="B305" s="18" t="str">
        <f>"4226000000"</f>
        <v>4226000000</v>
      </c>
      <c r="C305" s="18" t="str">
        <f>"Mortuary supplies"</f>
        <v>Mortuary supplies</v>
      </c>
      <c r="D305" s="18" t="s">
        <v>1895</v>
      </c>
    </row>
    <row r="306" spans="1:4">
      <c r="A306" s="18" t="s">
        <v>300</v>
      </c>
      <c r="B306" s="18" t="str">
        <f>"4227000000"</f>
        <v>4227000000</v>
      </c>
      <c r="C306" s="18" t="str">
        <f>"Respiratory products"</f>
        <v>Respiratory products</v>
      </c>
      <c r="D306" s="18" t="s">
        <v>1895</v>
      </c>
    </row>
    <row r="307" spans="1:4">
      <c r="A307" s="18" t="s">
        <v>300</v>
      </c>
      <c r="B307" s="18" t="str">
        <f>"4228000000"</f>
        <v>4228000000</v>
      </c>
      <c r="C307" s="18" t="str">
        <f>"Med sterilization products"</f>
        <v>Med sterilization products</v>
      </c>
      <c r="D307" s="18" t="s">
        <v>1895</v>
      </c>
    </row>
    <row r="308" spans="1:4">
      <c r="A308" s="18" t="s">
        <v>300</v>
      </c>
      <c r="B308" s="18" t="str">
        <f>"4229000000"</f>
        <v>4229000000</v>
      </c>
      <c r="C308" s="18" t="str">
        <f>"Surgical products"</f>
        <v>Surgical products</v>
      </c>
      <c r="D308" s="18" t="s">
        <v>1895</v>
      </c>
    </row>
    <row r="309" spans="1:4">
      <c r="A309" s="18" t="s">
        <v>300</v>
      </c>
      <c r="B309" s="18" t="str">
        <f>"4230000000"</f>
        <v>4230000000</v>
      </c>
      <c r="C309" s="18" t="str">
        <f>"Med training supplies"</f>
        <v>Med training supplies</v>
      </c>
      <c r="D309" s="18" t="s">
        <v>1895</v>
      </c>
    </row>
    <row r="310" spans="1:4">
      <c r="A310" s="18" t="s">
        <v>300</v>
      </c>
      <c r="B310" s="18" t="str">
        <f>"4231000000"</f>
        <v>4231000000</v>
      </c>
      <c r="C310" s="18" t="str">
        <f>"Wound care products"</f>
        <v>Wound care products</v>
      </c>
      <c r="D310" s="18" t="s">
        <v>1895</v>
      </c>
    </row>
    <row r="311" spans="1:4">
      <c r="A311" s="18" t="s">
        <v>300</v>
      </c>
      <c r="B311" s="18" t="str">
        <f>"4232000000"</f>
        <v>4232000000</v>
      </c>
      <c r="C311" s="18" t="str">
        <f>"Orthopedic surgical implants"</f>
        <v>Orthopedic surgical implants</v>
      </c>
      <c r="D311" s="18" t="s">
        <v>1895</v>
      </c>
    </row>
    <row r="312" spans="1:4">
      <c r="A312" s="18" t="s">
        <v>300</v>
      </c>
      <c r="B312" s="18" t="str">
        <f>"4300000000"</f>
        <v>4300000000</v>
      </c>
      <c r="C312" s="18" t="str">
        <f>"4300000000"</f>
        <v>4300000000</v>
      </c>
      <c r="D312" s="18" t="s">
        <v>1895</v>
      </c>
    </row>
    <row r="313" spans="1:4">
      <c r="A313" s="18" t="s">
        <v>300</v>
      </c>
      <c r="B313" s="18" t="str">
        <f>"4319000000"</f>
        <v>4319000000</v>
      </c>
      <c r="C313" s="18" t="str">
        <f>"Communications Devices"</f>
        <v>Communications Devices</v>
      </c>
      <c r="D313" s="18" t="s">
        <v>1895</v>
      </c>
    </row>
    <row r="314" spans="1:4">
      <c r="A314" s="18" t="s">
        <v>300</v>
      </c>
      <c r="B314" s="18" t="str">
        <f>"4320000000"</f>
        <v>4320000000</v>
      </c>
      <c r="C314" s="18" t="str">
        <f>"Telecommunications parts"</f>
        <v>Telecommunications parts</v>
      </c>
      <c r="D314" s="18" t="s">
        <v>1895</v>
      </c>
    </row>
    <row r="315" spans="1:4" ht="27">
      <c r="A315" s="18" t="s">
        <v>300</v>
      </c>
      <c r="B315" s="18" t="str">
        <f>"4320000090"</f>
        <v>4320000090</v>
      </c>
      <c r="C315" s="18" t="str">
        <f>"Telecommunications parts - Grn"</f>
        <v>Telecommunications parts - Grn</v>
      </c>
      <c r="D315" s="18" t="s">
        <v>1895</v>
      </c>
    </row>
    <row r="316" spans="1:4">
      <c r="A316" s="18" t="s">
        <v>300</v>
      </c>
      <c r="B316" s="18" t="str">
        <f>"4321000000"</f>
        <v>4321000000</v>
      </c>
      <c r="C316" s="18" t="str">
        <f>"Computer Equipment"</f>
        <v>Computer Equipment</v>
      </c>
      <c r="D316" s="18" t="s">
        <v>1895</v>
      </c>
    </row>
    <row r="317" spans="1:4">
      <c r="A317" s="18" t="s">
        <v>300</v>
      </c>
      <c r="B317" s="18" t="str">
        <f>"4321160000"</f>
        <v>4321160000</v>
      </c>
      <c r="C317" s="18" t="str">
        <f>"Computer Accessories"</f>
        <v>Computer Accessories</v>
      </c>
      <c r="D317" s="18" t="s">
        <v>1895</v>
      </c>
    </row>
    <row r="318" spans="1:4" ht="27">
      <c r="A318" s="18" t="s">
        <v>300</v>
      </c>
      <c r="B318" s="18" t="str">
        <f>"4322000000"</f>
        <v>4322000000</v>
      </c>
      <c r="C318" s="18" t="str">
        <f>"Network Communication accssrs"</f>
        <v>Network Communication accssrs</v>
      </c>
      <c r="D318" s="18" t="s">
        <v>1895</v>
      </c>
    </row>
    <row r="319" spans="1:4">
      <c r="A319" s="18" t="s">
        <v>300</v>
      </c>
      <c r="B319" s="18" t="str">
        <f>"4323000000"</f>
        <v>4323000000</v>
      </c>
      <c r="C319" s="18" t="str">
        <f>"Software"</f>
        <v>Software</v>
      </c>
      <c r="D319" s="18" t="s">
        <v>1895</v>
      </c>
    </row>
    <row r="320" spans="1:4">
      <c r="A320" s="18" t="s">
        <v>300</v>
      </c>
      <c r="B320" s="18" t="str">
        <f>"4400000000"</f>
        <v>4400000000</v>
      </c>
      <c r="C320" s="18" t="str">
        <f>"4400000000"</f>
        <v>4400000000</v>
      </c>
      <c r="D320" s="18" t="s">
        <v>1895</v>
      </c>
    </row>
    <row r="321" spans="1:4">
      <c r="A321" s="18" t="s">
        <v>300</v>
      </c>
      <c r="B321" s="18" t="str">
        <f>"4410000000"</f>
        <v>4410000000</v>
      </c>
      <c r="C321" s="18" t="str">
        <f>"Office machines"</f>
        <v>Office machines</v>
      </c>
      <c r="D321" s="18" t="s">
        <v>1895</v>
      </c>
    </row>
    <row r="322" spans="1:4">
      <c r="A322" s="18" t="s">
        <v>300</v>
      </c>
      <c r="B322" s="18" t="str">
        <f>"4410000090"</f>
        <v>4410000090</v>
      </c>
      <c r="C322" s="18" t="str">
        <f>"Office machines - Grn"</f>
        <v>Office machines - Grn</v>
      </c>
      <c r="D322" s="18" t="s">
        <v>1895</v>
      </c>
    </row>
    <row r="323" spans="1:4">
      <c r="A323" s="18" t="s">
        <v>300</v>
      </c>
      <c r="B323" s="18" t="str">
        <f>"4411000000"</f>
        <v>4411000000</v>
      </c>
      <c r="C323" s="18" t="str">
        <f>"Office &amp; desk accssrs"</f>
        <v>Office &amp; desk accssrs</v>
      </c>
      <c r="D323" s="18" t="s">
        <v>1895</v>
      </c>
    </row>
    <row r="324" spans="1:4">
      <c r="A324" s="18" t="s">
        <v>300</v>
      </c>
      <c r="B324" s="18" t="str">
        <f>"4411000090"</f>
        <v>4411000090</v>
      </c>
      <c r="C324" s="18" t="str">
        <f>"Office &amp; desk accssrs - Grn"</f>
        <v>Office &amp; desk accssrs - Grn</v>
      </c>
      <c r="D324" s="18" t="s">
        <v>1895</v>
      </c>
    </row>
    <row r="325" spans="1:4">
      <c r="A325" s="18" t="s">
        <v>300</v>
      </c>
      <c r="B325" s="18" t="str">
        <f>"4412000000"</f>
        <v>4412000000</v>
      </c>
      <c r="C325" s="18" t="str">
        <f>"Office supplies"</f>
        <v>Office supplies</v>
      </c>
      <c r="D325" s="18" t="s">
        <v>1895</v>
      </c>
    </row>
    <row r="326" spans="1:4">
      <c r="A326" s="18" t="s">
        <v>300</v>
      </c>
      <c r="B326" s="18" t="str">
        <f>"4412000090"</f>
        <v>4412000090</v>
      </c>
      <c r="C326" s="18" t="str">
        <f>"Office supplies - Grn"</f>
        <v>Office supplies - Grn</v>
      </c>
      <c r="D326" s="18" t="s">
        <v>1895</v>
      </c>
    </row>
    <row r="327" spans="1:4">
      <c r="A327" s="18" t="s">
        <v>300</v>
      </c>
      <c r="B327" s="18" t="str">
        <f>"4412151300"</f>
        <v>4412151300</v>
      </c>
      <c r="C327" s="18" t="str">
        <f>"Postage"</f>
        <v>Postage</v>
      </c>
      <c r="D327" s="18" t="s">
        <v>1895</v>
      </c>
    </row>
    <row r="328" spans="1:4">
      <c r="A328" s="18" t="s">
        <v>300</v>
      </c>
      <c r="B328" s="18" t="str">
        <f>"4500000000"</f>
        <v>4500000000</v>
      </c>
      <c r="C328" s="18" t="str">
        <f>"4500000000"</f>
        <v>4500000000</v>
      </c>
      <c r="D328" s="18" t="s">
        <v>1895</v>
      </c>
    </row>
    <row r="329" spans="1:4">
      <c r="A329" s="18" t="s">
        <v>300</v>
      </c>
      <c r="B329" s="18" t="str">
        <f>"4510000000"</f>
        <v>4510000000</v>
      </c>
      <c r="C329" s="18" t="str">
        <f>"Printing equip"</f>
        <v>Printing equip</v>
      </c>
      <c r="D329" s="18" t="s">
        <v>1895</v>
      </c>
    </row>
    <row r="330" spans="1:4">
      <c r="A330" s="18" t="s">
        <v>300</v>
      </c>
      <c r="B330" s="18" t="str">
        <f>"4510000080"</f>
        <v>4510000080</v>
      </c>
      <c r="C330" s="18" t="str">
        <f>"Printing equip - Haz"</f>
        <v>Printing equip - Haz</v>
      </c>
      <c r="D330" s="18" t="s">
        <v>1895</v>
      </c>
    </row>
    <row r="331" spans="1:4">
      <c r="A331" s="18" t="s">
        <v>300</v>
      </c>
      <c r="B331" s="18" t="str">
        <f>"4511000000"</f>
        <v>4511000000</v>
      </c>
      <c r="C331" s="18" t="str">
        <f>"Audio visual equip"</f>
        <v>Audio visual equip</v>
      </c>
      <c r="D331" s="18" t="s">
        <v>1895</v>
      </c>
    </row>
    <row r="332" spans="1:4">
      <c r="A332" s="18" t="s">
        <v>300</v>
      </c>
      <c r="B332" s="18" t="str">
        <f>"4512000000"</f>
        <v>4512000000</v>
      </c>
      <c r="C332" s="18" t="str">
        <f>"Photo, film, video equip"</f>
        <v>Photo, film, video equip</v>
      </c>
      <c r="D332" s="18" t="s">
        <v>1895</v>
      </c>
    </row>
    <row r="333" spans="1:4" ht="27">
      <c r="A333" s="18" t="s">
        <v>300</v>
      </c>
      <c r="B333" s="18" t="str">
        <f>"4513000000"</f>
        <v>4513000000</v>
      </c>
      <c r="C333" s="18" t="str">
        <f>"Photographic &amp; recording media"</f>
        <v>Photographic &amp; recording media</v>
      </c>
      <c r="D333" s="18" t="s">
        <v>1895</v>
      </c>
    </row>
    <row r="334" spans="1:4">
      <c r="A334" s="18" t="s">
        <v>300</v>
      </c>
      <c r="B334" s="18" t="str">
        <f>"4514000000"</f>
        <v>4514000000</v>
      </c>
      <c r="C334" s="18" t="str">
        <f>"Photo, filmmaking supplies"</f>
        <v>Photo, filmmaking supplies</v>
      </c>
      <c r="D334" s="18" t="s">
        <v>1895</v>
      </c>
    </row>
    <row r="335" spans="1:4">
      <c r="A335" s="18" t="s">
        <v>300</v>
      </c>
      <c r="B335" s="18" t="str">
        <f>"4514000080"</f>
        <v>4514000080</v>
      </c>
      <c r="C335" s="18" t="str">
        <f>"Photographic supplies - Haz"</f>
        <v>Photographic supplies - Haz</v>
      </c>
      <c r="D335" s="18" t="s">
        <v>1895</v>
      </c>
    </row>
    <row r="336" spans="1:4">
      <c r="A336" s="18" t="s">
        <v>300</v>
      </c>
      <c r="B336" s="18" t="str">
        <f>"4600000000"</f>
        <v>4600000000</v>
      </c>
      <c r="C336" s="18" t="str">
        <f>"4600000000"</f>
        <v>4600000000</v>
      </c>
      <c r="D336" s="18" t="s">
        <v>1895</v>
      </c>
    </row>
    <row r="337" spans="1:4">
      <c r="A337" s="18" t="s">
        <v>300</v>
      </c>
      <c r="B337" s="18" t="str">
        <f>"4610000000"</f>
        <v>4610000000</v>
      </c>
      <c r="C337" s="18" t="str">
        <f>"Light weapons &amp; ammunition"</f>
        <v>Light weapons &amp; ammunition</v>
      </c>
      <c r="D337" s="18" t="s">
        <v>1895</v>
      </c>
    </row>
    <row r="338" spans="1:4">
      <c r="A338" s="18" t="s">
        <v>300</v>
      </c>
      <c r="B338" s="18" t="str">
        <f>"4610000080"</f>
        <v>4610000080</v>
      </c>
      <c r="C338" s="18" t="str">
        <f>"Light weapons - Haz"</f>
        <v>Light weapons - Haz</v>
      </c>
      <c r="D338" s="18" t="s">
        <v>1895</v>
      </c>
    </row>
    <row r="339" spans="1:4">
      <c r="A339" s="18" t="s">
        <v>300</v>
      </c>
      <c r="B339" s="18" t="str">
        <f>"4611000000"</f>
        <v>4611000000</v>
      </c>
      <c r="C339" s="18" t="str">
        <f>"Conventional war weapons"</f>
        <v>Conventional war weapons</v>
      </c>
      <c r="D339" s="18" t="s">
        <v>1895</v>
      </c>
    </row>
    <row r="340" spans="1:4" ht="27">
      <c r="A340" s="18" t="s">
        <v>300</v>
      </c>
      <c r="B340" s="18" t="str">
        <f>"4611000080"</f>
        <v>4611000080</v>
      </c>
      <c r="C340" s="18" t="str">
        <f>"Conventional war weapons - Haz"</f>
        <v>Conventional war weapons - Haz</v>
      </c>
      <c r="D340" s="18" t="s">
        <v>1895</v>
      </c>
    </row>
    <row r="341" spans="1:4">
      <c r="A341" s="18" t="s">
        <v>300</v>
      </c>
      <c r="B341" s="18" t="str">
        <f>"4612000000"</f>
        <v>4612000000</v>
      </c>
      <c r="C341" s="18" t="str">
        <f>"Missiles"</f>
        <v>Missiles</v>
      </c>
      <c r="D341" s="18" t="s">
        <v>1895</v>
      </c>
    </row>
    <row r="342" spans="1:4">
      <c r="A342" s="18" t="s">
        <v>300</v>
      </c>
      <c r="B342" s="18" t="str">
        <f>"4612000080"</f>
        <v>4612000080</v>
      </c>
      <c r="C342" s="18" t="str">
        <f>"Missiles - Haz"</f>
        <v>Missiles - Haz</v>
      </c>
      <c r="D342" s="18" t="s">
        <v>1895</v>
      </c>
    </row>
    <row r="343" spans="1:4">
      <c r="A343" s="18" t="s">
        <v>300</v>
      </c>
      <c r="B343" s="18" t="str">
        <f>"4613000000"</f>
        <v>4613000000</v>
      </c>
      <c r="C343" s="18" t="str">
        <f>"Rockets &amp; subsyst"</f>
        <v>Rockets &amp; subsyst</v>
      </c>
      <c r="D343" s="18" t="s">
        <v>1895</v>
      </c>
    </row>
    <row r="344" spans="1:4">
      <c r="A344" s="18" t="s">
        <v>300</v>
      </c>
      <c r="B344" s="18" t="str">
        <f>"4613000080"</f>
        <v>4613000080</v>
      </c>
      <c r="C344" s="18" t="str">
        <f>"Rockets &amp; subsyst - Haz"</f>
        <v>Rockets &amp; subsyst - Haz</v>
      </c>
      <c r="D344" s="18" t="s">
        <v>1895</v>
      </c>
    </row>
    <row r="345" spans="1:4">
      <c r="A345" s="18" t="s">
        <v>300</v>
      </c>
      <c r="B345" s="18" t="str">
        <f>"4614000000"</f>
        <v>4614000000</v>
      </c>
      <c r="C345" s="18" t="str">
        <f>"Launchers"</f>
        <v>Launchers</v>
      </c>
      <c r="D345" s="18" t="s">
        <v>1895</v>
      </c>
    </row>
    <row r="346" spans="1:4">
      <c r="A346" s="18" t="s">
        <v>300</v>
      </c>
      <c r="B346" s="18" t="str">
        <f>"4614000080"</f>
        <v>4614000080</v>
      </c>
      <c r="C346" s="18" t="str">
        <f>"Launchers - Haz"</f>
        <v>Launchers - Haz</v>
      </c>
      <c r="D346" s="18" t="s">
        <v>1895</v>
      </c>
    </row>
    <row r="347" spans="1:4">
      <c r="A347" s="18" t="s">
        <v>300</v>
      </c>
      <c r="B347" s="18" t="str">
        <f>"4615000000"</f>
        <v>4615000000</v>
      </c>
      <c r="C347" s="18" t="str">
        <f>"Law enforcement"</f>
        <v>Law enforcement</v>
      </c>
      <c r="D347" s="18" t="s">
        <v>1895</v>
      </c>
    </row>
    <row r="348" spans="1:4">
      <c r="A348" s="18" t="s">
        <v>300</v>
      </c>
      <c r="B348" s="18" t="str">
        <f>"4615000080"</f>
        <v>4615000080</v>
      </c>
      <c r="C348" s="18" t="str">
        <f>"Law enforcement - Haz"</f>
        <v>Law enforcement - Haz</v>
      </c>
      <c r="D348" s="18" t="s">
        <v>1895</v>
      </c>
    </row>
    <row r="349" spans="1:4">
      <c r="A349" s="18" t="s">
        <v>300</v>
      </c>
      <c r="B349" s="18" t="str">
        <f>"4616000000"</f>
        <v>4616000000</v>
      </c>
      <c r="C349" s="18" t="str">
        <f>"Public safety &amp; ctrl"</f>
        <v>Public safety &amp; ctrl</v>
      </c>
      <c r="D349" s="18" t="s">
        <v>1895</v>
      </c>
    </row>
    <row r="350" spans="1:4">
      <c r="A350" s="18" t="s">
        <v>300</v>
      </c>
      <c r="B350" s="18" t="str">
        <f>"4616000080"</f>
        <v>4616000080</v>
      </c>
      <c r="C350" s="18" t="str">
        <f>"Public safety &amp; ctrl - Haz"</f>
        <v>Public safety &amp; ctrl - Haz</v>
      </c>
      <c r="D350" s="18" t="s">
        <v>1895</v>
      </c>
    </row>
    <row r="351" spans="1:4">
      <c r="A351" s="18" t="s">
        <v>300</v>
      </c>
      <c r="B351" s="18" t="str">
        <f>"4617000000"</f>
        <v>4617000000</v>
      </c>
      <c r="C351" s="18" t="str">
        <f>"Security equip"</f>
        <v>Security equip</v>
      </c>
      <c r="D351" s="18" t="s">
        <v>1895</v>
      </c>
    </row>
    <row r="352" spans="1:4">
      <c r="A352" s="18" t="s">
        <v>300</v>
      </c>
      <c r="B352" s="18" t="str">
        <f>"4617000080"</f>
        <v>4617000080</v>
      </c>
      <c r="C352" s="18" t="str">
        <f>"Security equip - Haz"</f>
        <v>Security equip - Haz</v>
      </c>
      <c r="D352" s="18" t="s">
        <v>1895</v>
      </c>
    </row>
    <row r="353" spans="1:4">
      <c r="A353" s="18" t="s">
        <v>300</v>
      </c>
      <c r="B353" s="18" t="str">
        <f>"4618000000"</f>
        <v>4618000000</v>
      </c>
      <c r="C353" s="18" t="str">
        <f>"Personal protection"</f>
        <v>Personal protection</v>
      </c>
      <c r="D353" s="18" t="s">
        <v>1895</v>
      </c>
    </row>
    <row r="354" spans="1:4">
      <c r="A354" s="18" t="s">
        <v>300</v>
      </c>
      <c r="B354" s="18" t="str">
        <f>"4618000080"</f>
        <v>4618000080</v>
      </c>
      <c r="C354" s="18" t="str">
        <f>"Personal protection - Haz"</f>
        <v>Personal protection - Haz</v>
      </c>
      <c r="D354" s="18" t="s">
        <v>1895</v>
      </c>
    </row>
    <row r="355" spans="1:4">
      <c r="A355" s="18" t="s">
        <v>300</v>
      </c>
      <c r="B355" s="18" t="str">
        <f>"4619000000"</f>
        <v>4619000000</v>
      </c>
      <c r="C355" s="18" t="str">
        <f>"Fire protection"</f>
        <v>Fire protection</v>
      </c>
      <c r="D355" s="18" t="s">
        <v>1895</v>
      </c>
    </row>
    <row r="356" spans="1:4">
      <c r="A356" s="18" t="s">
        <v>300</v>
      </c>
      <c r="B356" s="18" t="str">
        <f>"4619000080"</f>
        <v>4619000080</v>
      </c>
      <c r="C356" s="18" t="str">
        <f>"Fire protection - Haz"</f>
        <v>Fire protection - Haz</v>
      </c>
      <c r="D356" s="18" t="s">
        <v>1895</v>
      </c>
    </row>
    <row r="357" spans="1:4">
      <c r="A357" s="18" t="s">
        <v>300</v>
      </c>
      <c r="B357" s="18" t="str">
        <f>"4700000000"</f>
        <v>4700000000</v>
      </c>
      <c r="C357" s="18" t="str">
        <f>"4700000000"</f>
        <v>4700000000</v>
      </c>
      <c r="D357" s="18" t="s">
        <v>1895</v>
      </c>
    </row>
    <row r="358" spans="1:4">
      <c r="A358" s="18" t="s">
        <v>300</v>
      </c>
      <c r="B358" s="18" t="str">
        <f>"4710000000"</f>
        <v>4710000000</v>
      </c>
      <c r="C358" s="18" t="str">
        <f>"Water treatment supply"</f>
        <v>Water treatment supply</v>
      </c>
      <c r="D358" s="18" t="s">
        <v>1895</v>
      </c>
    </row>
    <row r="359" spans="1:4">
      <c r="A359" s="18" t="s">
        <v>300</v>
      </c>
      <c r="B359" s="18" t="str">
        <f>"4710000080"</f>
        <v>4710000080</v>
      </c>
      <c r="C359" s="18" t="str">
        <f>"Water treatment supply - Haz"</f>
        <v>Water treatment supply - Haz</v>
      </c>
      <c r="D359" s="18" t="s">
        <v>1895</v>
      </c>
    </row>
    <row r="360" spans="1:4">
      <c r="A360" s="18" t="s">
        <v>300</v>
      </c>
      <c r="B360" s="18" t="str">
        <f>"4711000000"</f>
        <v>4711000000</v>
      </c>
      <c r="C360" s="18" t="str">
        <f>"Laundry, dry clng equip"</f>
        <v>Laundry, dry clng equip</v>
      </c>
      <c r="D360" s="18" t="s">
        <v>1895</v>
      </c>
    </row>
    <row r="361" spans="1:4">
      <c r="A361" s="18" t="s">
        <v>300</v>
      </c>
      <c r="B361" s="18" t="str">
        <f>"4711000080"</f>
        <v>4711000080</v>
      </c>
      <c r="C361" s="18" t="str">
        <f>"Laundry, dry clng equip - Haz"</f>
        <v>Laundry, dry clng equip - Haz</v>
      </c>
      <c r="D361" s="18" t="s">
        <v>1895</v>
      </c>
    </row>
    <row r="362" spans="1:4">
      <c r="A362" s="18" t="s">
        <v>300</v>
      </c>
      <c r="B362" s="18" t="str">
        <f>"4712000000"</f>
        <v>4712000000</v>
      </c>
      <c r="C362" s="18" t="str">
        <f>"Janitorial equip"</f>
        <v>Janitorial equip</v>
      </c>
      <c r="D362" s="18" t="s">
        <v>1895</v>
      </c>
    </row>
    <row r="363" spans="1:4">
      <c r="A363" s="18" t="s">
        <v>300</v>
      </c>
      <c r="B363" s="18" t="str">
        <f>"4713000000"</f>
        <v>4713000000</v>
      </c>
      <c r="C363" s="18" t="str">
        <f>"Janitorial supplies"</f>
        <v>Janitorial supplies</v>
      </c>
      <c r="D363" s="18" t="s">
        <v>1895</v>
      </c>
    </row>
    <row r="364" spans="1:4">
      <c r="A364" s="18" t="s">
        <v>300</v>
      </c>
      <c r="B364" s="18" t="str">
        <f>"4713000080"</f>
        <v>4713000080</v>
      </c>
      <c r="C364" s="18" t="str">
        <f>"Janitorial supplies - Haz"</f>
        <v>Janitorial supplies - Haz</v>
      </c>
      <c r="D364" s="18" t="s">
        <v>1895</v>
      </c>
    </row>
    <row r="365" spans="1:4">
      <c r="A365" s="18" t="s">
        <v>300</v>
      </c>
      <c r="B365" s="18" t="str">
        <f>"4713000090"</f>
        <v>4713000090</v>
      </c>
      <c r="C365" s="18" t="str">
        <f>"Janitorial supplies - Grn"</f>
        <v>Janitorial supplies - Grn</v>
      </c>
      <c r="D365" s="18" t="s">
        <v>1895</v>
      </c>
    </row>
    <row r="366" spans="1:4">
      <c r="A366" s="18" t="s">
        <v>300</v>
      </c>
      <c r="B366" s="18" t="str">
        <f>"4800000000"</f>
        <v>4800000000</v>
      </c>
      <c r="C366" s="18" t="str">
        <f>"4800000000"</f>
        <v>4800000000</v>
      </c>
      <c r="D366" s="18" t="s">
        <v>1895</v>
      </c>
    </row>
    <row r="367" spans="1:4">
      <c r="A367" s="18" t="s">
        <v>300</v>
      </c>
      <c r="B367" s="18" t="str">
        <f>"4810000000"</f>
        <v>4810000000</v>
      </c>
      <c r="C367" s="18" t="str">
        <f>"Institutional food svcs equip"</f>
        <v>Institutional food svcs equip</v>
      </c>
      <c r="D367" s="18" t="s">
        <v>1895</v>
      </c>
    </row>
    <row r="368" spans="1:4">
      <c r="A368" s="18" t="s">
        <v>300</v>
      </c>
      <c r="B368" s="18" t="str">
        <f>"4811000000"</f>
        <v>4811000000</v>
      </c>
      <c r="C368" s="18" t="str">
        <f>"Vending machines"</f>
        <v>Vending machines</v>
      </c>
      <c r="D368" s="18" t="s">
        <v>1895</v>
      </c>
    </row>
    <row r="369" spans="1:4">
      <c r="A369" s="18" t="s">
        <v>300</v>
      </c>
      <c r="B369" s="18" t="str">
        <f>"4812000000"</f>
        <v>4812000000</v>
      </c>
      <c r="C369" s="18" t="str">
        <f>"Gambling or wagering equip"</f>
        <v>Gambling or wagering equip</v>
      </c>
      <c r="D369" s="18" t="s">
        <v>1895</v>
      </c>
    </row>
    <row r="370" spans="1:4">
      <c r="A370" s="18" t="s">
        <v>300</v>
      </c>
      <c r="B370" s="18" t="str">
        <f>"4900000000"</f>
        <v>4900000000</v>
      </c>
      <c r="C370" s="18" t="str">
        <f>"4900000000"</f>
        <v>4900000000</v>
      </c>
      <c r="D370" s="18" t="s">
        <v>1895</v>
      </c>
    </row>
    <row r="371" spans="1:4">
      <c r="A371" s="18" t="s">
        <v>300</v>
      </c>
      <c r="B371" s="18" t="str">
        <f>"4910000000"</f>
        <v>4910000000</v>
      </c>
      <c r="C371" s="18" t="str">
        <f>"Collectibles &amp; awards"</f>
        <v>Collectibles &amp; awards</v>
      </c>
      <c r="D371" s="18" t="s">
        <v>1895</v>
      </c>
    </row>
    <row r="372" spans="1:4">
      <c r="A372" s="18" t="s">
        <v>300</v>
      </c>
      <c r="B372" s="18" t="str">
        <f>"4912000000"</f>
        <v>4912000000</v>
      </c>
      <c r="C372" s="18" t="str">
        <f>"Camping accssrs"</f>
        <v>Camping accssrs</v>
      </c>
      <c r="D372" s="18" t="s">
        <v>1895</v>
      </c>
    </row>
    <row r="373" spans="1:4">
      <c r="A373" s="18" t="s">
        <v>300</v>
      </c>
      <c r="B373" s="18" t="str">
        <f>"4913000000"</f>
        <v>4913000000</v>
      </c>
      <c r="C373" s="18" t="str">
        <f>"fshng &amp; hunting equip"</f>
        <v>fshng &amp; hunting equip</v>
      </c>
      <c r="D373" s="18" t="s">
        <v>1895</v>
      </c>
    </row>
    <row r="374" spans="1:4">
      <c r="A374" s="18" t="s">
        <v>300</v>
      </c>
      <c r="B374" s="18" t="str">
        <f>"4913000080"</f>
        <v>4913000080</v>
      </c>
      <c r="C374" s="18" t="str">
        <f>"fshng &amp; hunting equip - Haz"</f>
        <v>fshng &amp; hunting equip - Haz</v>
      </c>
      <c r="D374" s="18" t="s">
        <v>1895</v>
      </c>
    </row>
    <row r="375" spans="1:4">
      <c r="A375" s="18" t="s">
        <v>300</v>
      </c>
      <c r="B375" s="18" t="str">
        <f>"4914000000"</f>
        <v>4914000000</v>
      </c>
      <c r="C375" s="18" t="str">
        <f>"Watersports equip"</f>
        <v>Watersports equip</v>
      </c>
      <c r="D375" s="18" t="s">
        <v>1895</v>
      </c>
    </row>
    <row r="376" spans="1:4">
      <c r="A376" s="18" t="s">
        <v>300</v>
      </c>
      <c r="B376" s="18" t="str">
        <f>"4915000000"</f>
        <v>4915000000</v>
      </c>
      <c r="C376" s="18" t="str">
        <f>"Winter sports equip"</f>
        <v>Winter sports equip</v>
      </c>
      <c r="D376" s="18" t="s">
        <v>1895</v>
      </c>
    </row>
    <row r="377" spans="1:4">
      <c r="A377" s="18" t="s">
        <v>300</v>
      </c>
      <c r="B377" s="18" t="str">
        <f>"4916000000"</f>
        <v>4916000000</v>
      </c>
      <c r="C377" s="18" t="str">
        <f>"Field &amp; court sports equip"</f>
        <v>Field &amp; court sports equip</v>
      </c>
      <c r="D377" s="18" t="s">
        <v>1895</v>
      </c>
    </row>
    <row r="378" spans="1:4">
      <c r="A378" s="18" t="s">
        <v>300</v>
      </c>
      <c r="B378" s="18" t="str">
        <f>"4917000000"</f>
        <v>4917000000</v>
      </c>
      <c r="C378" s="18" t="str">
        <f>"Gymnastics &amp; boxing equip"</f>
        <v>Gymnastics &amp; boxing equip</v>
      </c>
      <c r="D378" s="18" t="s">
        <v>1895</v>
      </c>
    </row>
    <row r="379" spans="1:4">
      <c r="A379" s="18" t="s">
        <v>300</v>
      </c>
      <c r="B379" s="18" t="str">
        <f>"4918000000"</f>
        <v>4918000000</v>
      </c>
      <c r="C379" s="18" t="str">
        <f>"Target &amp; table games &amp; equip"</f>
        <v>Target &amp; table games &amp; equip</v>
      </c>
      <c r="D379" s="18" t="s">
        <v>1895</v>
      </c>
    </row>
    <row r="380" spans="1:4">
      <c r="A380" s="18" t="s">
        <v>300</v>
      </c>
      <c r="B380" s="18" t="str">
        <f>"4920000000"</f>
        <v>4920000000</v>
      </c>
      <c r="C380" s="18" t="str">
        <f>"Fitness equip"</f>
        <v>Fitness equip</v>
      </c>
      <c r="D380" s="18" t="s">
        <v>1895</v>
      </c>
    </row>
    <row r="381" spans="1:4">
      <c r="A381" s="18" t="s">
        <v>300</v>
      </c>
      <c r="B381" s="18" t="str">
        <f>"4921000000"</f>
        <v>4921000000</v>
      </c>
      <c r="C381" s="18" t="str">
        <f>"Other sports"</f>
        <v>Other sports</v>
      </c>
      <c r="D381" s="18" t="s">
        <v>1895</v>
      </c>
    </row>
    <row r="382" spans="1:4">
      <c r="A382" s="18" t="s">
        <v>300</v>
      </c>
      <c r="B382" s="18" t="str">
        <f>"4922000000"</f>
        <v>4922000000</v>
      </c>
      <c r="C382" s="18" t="str">
        <f>"Sports equip &amp; accssrs"</f>
        <v>Sports equip &amp; accssrs</v>
      </c>
      <c r="D382" s="18" t="s">
        <v>1895</v>
      </c>
    </row>
    <row r="383" spans="1:4" ht="27">
      <c r="A383" s="18" t="s">
        <v>300</v>
      </c>
      <c r="B383" s="18" t="str">
        <f>"4924000000"</f>
        <v>4924000000</v>
      </c>
      <c r="C383" s="18" t="str">
        <f>"Playground &amp; spa equip supplie"</f>
        <v>Playground &amp; spa equip supplie</v>
      </c>
      <c r="D383" s="18" t="s">
        <v>1895</v>
      </c>
    </row>
    <row r="384" spans="1:4">
      <c r="A384" s="18" t="s">
        <v>300</v>
      </c>
      <c r="B384" s="18" t="str">
        <f>"5000000000"</f>
        <v>5000000000</v>
      </c>
      <c r="C384" s="18" t="str">
        <f>"5000000000"</f>
        <v>5000000000</v>
      </c>
      <c r="D384" s="18" t="s">
        <v>1895</v>
      </c>
    </row>
    <row r="385" spans="1:4">
      <c r="A385" s="18" t="s">
        <v>300</v>
      </c>
      <c r="B385" s="18" t="str">
        <f>"5010000000"</f>
        <v>5010000000</v>
      </c>
      <c r="C385" s="18" t="str">
        <f>"Nuts &amp; seeds"</f>
        <v>Nuts &amp; seeds</v>
      </c>
      <c r="D385" s="18" t="s">
        <v>1895</v>
      </c>
    </row>
    <row r="386" spans="1:4">
      <c r="A386" s="18" t="s">
        <v>300</v>
      </c>
      <c r="B386" s="18" t="str">
        <f>"5010000090"</f>
        <v>5010000090</v>
      </c>
      <c r="C386" s="18" t="str">
        <f>"Nuts &amp; seeds - Grn"</f>
        <v>Nuts &amp; seeds - Grn</v>
      </c>
      <c r="D386" s="18" t="s">
        <v>1895</v>
      </c>
    </row>
    <row r="387" spans="1:4">
      <c r="A387" s="18" t="s">
        <v>300</v>
      </c>
      <c r="B387" s="18" t="str">
        <f>"5011000000"</f>
        <v>5011000000</v>
      </c>
      <c r="C387" s="18" t="str">
        <f>"Meat &amp; poultry products"</f>
        <v>Meat &amp; poultry products</v>
      </c>
      <c r="D387" s="18" t="s">
        <v>1895</v>
      </c>
    </row>
    <row r="388" spans="1:4">
      <c r="A388" s="18" t="s">
        <v>300</v>
      </c>
      <c r="B388" s="18" t="str">
        <f>"5011000090"</f>
        <v>5011000090</v>
      </c>
      <c r="C388" s="18" t="str">
        <f>"Meat &amp; poultry products - Grn"</f>
        <v>Meat &amp; poultry products - Grn</v>
      </c>
      <c r="D388" s="18" t="s">
        <v>1895</v>
      </c>
    </row>
    <row r="389" spans="1:4">
      <c r="A389" s="18" t="s">
        <v>300</v>
      </c>
      <c r="B389" s="18" t="str">
        <f>"5012000000"</f>
        <v>5012000000</v>
      </c>
      <c r="C389" s="18" t="str">
        <f>"Seafood"</f>
        <v>Seafood</v>
      </c>
      <c r="D389" s="18" t="s">
        <v>1895</v>
      </c>
    </row>
    <row r="390" spans="1:4">
      <c r="A390" s="18" t="s">
        <v>300</v>
      </c>
      <c r="B390" s="18" t="str">
        <f>"5012000090"</f>
        <v>5012000090</v>
      </c>
      <c r="C390" s="18" t="str">
        <f>"Seafood - Grn"</f>
        <v>Seafood - Grn</v>
      </c>
      <c r="D390" s="18" t="s">
        <v>1895</v>
      </c>
    </row>
    <row r="391" spans="1:4">
      <c r="A391" s="18" t="s">
        <v>300</v>
      </c>
      <c r="B391" s="18" t="str">
        <f>"5013000000"</f>
        <v>5013000000</v>
      </c>
      <c r="C391" s="18" t="str">
        <f>"Dairy products &amp; eggs"</f>
        <v>Dairy products &amp; eggs</v>
      </c>
      <c r="D391" s="18" t="s">
        <v>1895</v>
      </c>
    </row>
    <row r="392" spans="1:4">
      <c r="A392" s="18" t="s">
        <v>300</v>
      </c>
      <c r="B392" s="18" t="str">
        <f>"5013000090"</f>
        <v>5013000090</v>
      </c>
      <c r="C392" s="18" t="str">
        <f>"Dairy products &amp; eggs - Grn"</f>
        <v>Dairy products &amp; eggs - Grn</v>
      </c>
      <c r="D392" s="18" t="s">
        <v>1895</v>
      </c>
    </row>
    <row r="393" spans="1:4">
      <c r="A393" s="18" t="s">
        <v>300</v>
      </c>
      <c r="B393" s="18" t="str">
        <f>"5015000000"</f>
        <v>5015000000</v>
      </c>
      <c r="C393" s="18" t="str">
        <f>"Edible oils &amp; fats"</f>
        <v>Edible oils &amp; fats</v>
      </c>
      <c r="D393" s="18" t="s">
        <v>1895</v>
      </c>
    </row>
    <row r="394" spans="1:4">
      <c r="A394" s="18" t="s">
        <v>300</v>
      </c>
      <c r="B394" s="18" t="str">
        <f>"5015000090"</f>
        <v>5015000090</v>
      </c>
      <c r="C394" s="18" t="str">
        <f>"Edible oils &amp; fats - Grn"</f>
        <v>Edible oils &amp; fats - Grn</v>
      </c>
      <c r="D394" s="18" t="s">
        <v>1895</v>
      </c>
    </row>
    <row r="395" spans="1:4">
      <c r="A395" s="18" t="s">
        <v>300</v>
      </c>
      <c r="B395" s="18" t="str">
        <f>"5016000000"</f>
        <v>5016000000</v>
      </c>
      <c r="C395" s="18" t="str">
        <f>"Confectionary products"</f>
        <v>Confectionary products</v>
      </c>
      <c r="D395" s="18" t="s">
        <v>1895</v>
      </c>
    </row>
    <row r="396" spans="1:4">
      <c r="A396" s="18" t="s">
        <v>300</v>
      </c>
      <c r="B396" s="18" t="str">
        <f>"5016000090"</f>
        <v>5016000090</v>
      </c>
      <c r="C396" s="18" t="str">
        <f>"Confectionary products - Grn"</f>
        <v>Confectionary products - Grn</v>
      </c>
      <c r="D396" s="18" t="s">
        <v>1895</v>
      </c>
    </row>
    <row r="397" spans="1:4">
      <c r="A397" s="18" t="s">
        <v>300</v>
      </c>
      <c r="B397" s="18" t="str">
        <f>"5017000000"</f>
        <v>5017000000</v>
      </c>
      <c r="C397" s="18" t="str">
        <f>"Seasonings"</f>
        <v>Seasonings</v>
      </c>
      <c r="D397" s="18" t="s">
        <v>1895</v>
      </c>
    </row>
    <row r="398" spans="1:4">
      <c r="A398" s="18" t="s">
        <v>300</v>
      </c>
      <c r="B398" s="18" t="str">
        <f>"5017000090"</f>
        <v>5017000090</v>
      </c>
      <c r="C398" s="18" t="str">
        <f>"Seasonings - Grn"</f>
        <v>Seasonings - Grn</v>
      </c>
      <c r="D398" s="18" t="s">
        <v>1895</v>
      </c>
    </row>
    <row r="399" spans="1:4">
      <c r="A399" s="18" t="s">
        <v>300</v>
      </c>
      <c r="B399" s="18" t="str">
        <f>"5018000000"</f>
        <v>5018000000</v>
      </c>
      <c r="C399" s="18" t="str">
        <f>"Bread &amp; bakery products"</f>
        <v>Bread &amp; bakery products</v>
      </c>
      <c r="D399" s="18" t="s">
        <v>1895</v>
      </c>
    </row>
    <row r="400" spans="1:4">
      <c r="A400" s="18" t="s">
        <v>300</v>
      </c>
      <c r="B400" s="18" t="str">
        <f>"5018000090"</f>
        <v>5018000090</v>
      </c>
      <c r="C400" s="18" t="str">
        <f>"Bread &amp; bakery products - Grn"</f>
        <v>Bread &amp; bakery products - Grn</v>
      </c>
      <c r="D400" s="18" t="s">
        <v>1895</v>
      </c>
    </row>
    <row r="401" spans="1:4">
      <c r="A401" s="18" t="s">
        <v>300</v>
      </c>
      <c r="B401" s="18" t="str">
        <f>"5019000000"</f>
        <v>5019000000</v>
      </c>
      <c r="C401" s="18" t="str">
        <f>"Packaged foods"</f>
        <v>Packaged foods</v>
      </c>
      <c r="D401" s="18" t="s">
        <v>1895</v>
      </c>
    </row>
    <row r="402" spans="1:4">
      <c r="A402" s="18" t="s">
        <v>300</v>
      </c>
      <c r="B402" s="18" t="str">
        <f>"5019000090"</f>
        <v>5019000090</v>
      </c>
      <c r="C402" s="18" t="str">
        <f>"Packaged foods - Grn"</f>
        <v>Packaged foods - Grn</v>
      </c>
      <c r="D402" s="18" t="s">
        <v>1895</v>
      </c>
    </row>
    <row r="403" spans="1:4">
      <c r="A403" s="18" t="s">
        <v>300</v>
      </c>
      <c r="B403" s="18" t="str">
        <f>"5020000000"</f>
        <v>5020000000</v>
      </c>
      <c r="C403" s="18" t="str">
        <f>"Beverages"</f>
        <v>Beverages</v>
      </c>
      <c r="D403" s="18" t="s">
        <v>1895</v>
      </c>
    </row>
    <row r="404" spans="1:4">
      <c r="A404" s="18" t="s">
        <v>300</v>
      </c>
      <c r="B404" s="18" t="str">
        <f>"5020000090"</f>
        <v>5020000090</v>
      </c>
      <c r="C404" s="18" t="str">
        <f>"Beverages - Grn"</f>
        <v>Beverages - Grn</v>
      </c>
      <c r="D404" s="18" t="s">
        <v>1895</v>
      </c>
    </row>
    <row r="405" spans="1:4">
      <c r="A405" s="18" t="s">
        <v>300</v>
      </c>
      <c r="B405" s="18" t="str">
        <f>"5021000000"</f>
        <v>5021000000</v>
      </c>
      <c r="C405" s="18" t="str">
        <f>"Tobacco products"</f>
        <v>Tobacco products</v>
      </c>
      <c r="D405" s="18" t="s">
        <v>1895</v>
      </c>
    </row>
    <row r="406" spans="1:4">
      <c r="A406" s="18" t="s">
        <v>300</v>
      </c>
      <c r="B406" s="18" t="str">
        <f>"5021000090"</f>
        <v>5021000090</v>
      </c>
      <c r="C406" s="18" t="str">
        <f>"Tobacco products - Grn"</f>
        <v>Tobacco products - Grn</v>
      </c>
      <c r="D406" s="18" t="s">
        <v>1895</v>
      </c>
    </row>
    <row r="407" spans="1:4">
      <c r="A407" s="18" t="s">
        <v>300</v>
      </c>
      <c r="B407" s="18" t="str">
        <f>"5022000000"</f>
        <v>5022000000</v>
      </c>
      <c r="C407" s="18" t="str">
        <f>"Cereal &amp; pulse products"</f>
        <v>Cereal &amp; pulse products</v>
      </c>
      <c r="D407" s="18" t="s">
        <v>1895</v>
      </c>
    </row>
    <row r="408" spans="1:4">
      <c r="A408" s="18" t="s">
        <v>300</v>
      </c>
      <c r="B408" s="18" t="str">
        <f>"5022000090"</f>
        <v>5022000090</v>
      </c>
      <c r="C408" s="18" t="str">
        <f>"Cereal &amp; pulse products - Grn"</f>
        <v>Cereal &amp; pulse products - Grn</v>
      </c>
      <c r="D408" s="18" t="s">
        <v>1895</v>
      </c>
    </row>
    <row r="409" spans="1:4">
      <c r="A409" s="18" t="s">
        <v>300</v>
      </c>
      <c r="B409" s="18" t="str">
        <f>"5030000000"</f>
        <v>5030000000</v>
      </c>
      <c r="C409" s="18" t="str">
        <f>"Fresh fruits"</f>
        <v>Fresh fruits</v>
      </c>
      <c r="D409" s="18" t="s">
        <v>1895</v>
      </c>
    </row>
    <row r="410" spans="1:4">
      <c r="A410" s="18" t="s">
        <v>300</v>
      </c>
      <c r="B410" s="18" t="str">
        <f>"5030000090"</f>
        <v>5030000090</v>
      </c>
      <c r="C410" s="18" t="str">
        <f>"Fresh fruits - Grn"</f>
        <v>Fresh fruits - Grn</v>
      </c>
      <c r="D410" s="18" t="s">
        <v>1895</v>
      </c>
    </row>
    <row r="411" spans="1:4">
      <c r="A411" s="18" t="s">
        <v>300</v>
      </c>
      <c r="B411" s="18" t="str">
        <f>"5031000000"</f>
        <v>5031000000</v>
      </c>
      <c r="C411" s="18" t="str">
        <f>"Organic fresh fruits"</f>
        <v>Organic fresh fruits</v>
      </c>
      <c r="D411" s="18" t="s">
        <v>1895</v>
      </c>
    </row>
    <row r="412" spans="1:4">
      <c r="A412" s="18" t="s">
        <v>300</v>
      </c>
      <c r="B412" s="18" t="str">
        <f>"5031000090"</f>
        <v>5031000090</v>
      </c>
      <c r="C412" s="18" t="str">
        <f>"Organic fresh fruits - Grn"</f>
        <v>Organic fresh fruits - Grn</v>
      </c>
      <c r="D412" s="18" t="s">
        <v>1895</v>
      </c>
    </row>
    <row r="413" spans="1:4">
      <c r="A413" s="18" t="s">
        <v>300</v>
      </c>
      <c r="B413" s="18" t="str">
        <f>"5040000000"</f>
        <v>5040000000</v>
      </c>
      <c r="C413" s="18" t="str">
        <f>"Fresh vegetables"</f>
        <v>Fresh vegetables</v>
      </c>
      <c r="D413" s="18" t="s">
        <v>1895</v>
      </c>
    </row>
    <row r="414" spans="1:4">
      <c r="A414" s="18" t="s">
        <v>300</v>
      </c>
      <c r="B414" s="18" t="str">
        <f>"5040000090"</f>
        <v>5040000090</v>
      </c>
      <c r="C414" s="18" t="str">
        <f>"Fresh vegetables - Grn"</f>
        <v>Fresh vegetables - Grn</v>
      </c>
      <c r="D414" s="18" t="s">
        <v>1895</v>
      </c>
    </row>
    <row r="415" spans="1:4">
      <c r="A415" s="18" t="s">
        <v>300</v>
      </c>
      <c r="B415" s="18" t="str">
        <f>"5041000000"</f>
        <v>5041000000</v>
      </c>
      <c r="C415" s="18" t="str">
        <f>"Organic fresh vegetables"</f>
        <v>Organic fresh vegetables</v>
      </c>
      <c r="D415" s="18" t="s">
        <v>1895</v>
      </c>
    </row>
    <row r="416" spans="1:4">
      <c r="A416" s="18" t="s">
        <v>300</v>
      </c>
      <c r="B416" s="18" t="str">
        <f>"5041000090"</f>
        <v>5041000090</v>
      </c>
      <c r="C416" s="18" t="str">
        <f>"Organic fresh vegetables - Grn"</f>
        <v>Organic fresh vegetables - Grn</v>
      </c>
      <c r="D416" s="18" t="s">
        <v>1895</v>
      </c>
    </row>
    <row r="417" spans="1:4">
      <c r="A417" s="18" t="s">
        <v>300</v>
      </c>
      <c r="B417" s="18" t="str">
        <f>"5100000000"</f>
        <v>5100000000</v>
      </c>
      <c r="C417" s="18" t="str">
        <f>"5100000000"</f>
        <v>5100000000</v>
      </c>
      <c r="D417" s="18" t="s">
        <v>1895</v>
      </c>
    </row>
    <row r="418" spans="1:4">
      <c r="A418" s="18" t="s">
        <v>300</v>
      </c>
      <c r="B418" s="18" t="str">
        <f>"5110000000"</f>
        <v>5110000000</v>
      </c>
      <c r="C418" s="18" t="str">
        <f>"Anti infective drugs"</f>
        <v>Anti infective drugs</v>
      </c>
      <c r="D418" s="18" t="s">
        <v>1895</v>
      </c>
    </row>
    <row r="419" spans="1:4">
      <c r="A419" s="18" t="s">
        <v>300</v>
      </c>
      <c r="B419" s="18" t="str">
        <f>"5110000080"</f>
        <v>5110000080</v>
      </c>
      <c r="C419" s="18" t="str">
        <f>"Anti infective drugs - Haz"</f>
        <v>Anti infective drugs - Haz</v>
      </c>
      <c r="D419" s="18" t="s">
        <v>1895</v>
      </c>
    </row>
    <row r="420" spans="1:4">
      <c r="A420" s="18" t="s">
        <v>300</v>
      </c>
      <c r="B420" s="18" t="str">
        <f>"5111000000"</f>
        <v>5111000000</v>
      </c>
      <c r="C420" s="18" t="str">
        <f>"Antineoplastic agents"</f>
        <v>Antineoplastic agents</v>
      </c>
      <c r="D420" s="18" t="s">
        <v>1895</v>
      </c>
    </row>
    <row r="421" spans="1:4">
      <c r="A421" s="18" t="s">
        <v>300</v>
      </c>
      <c r="B421" s="18" t="str">
        <f>"5111000080"</f>
        <v>5111000080</v>
      </c>
      <c r="C421" s="18" t="str">
        <f>"Antineoplastic agents - Haz"</f>
        <v>Antineoplastic agents - Haz</v>
      </c>
      <c r="D421" s="18" t="s">
        <v>1895</v>
      </c>
    </row>
    <row r="422" spans="1:4">
      <c r="A422" s="18" t="s">
        <v>300</v>
      </c>
      <c r="B422" s="18" t="str">
        <f>"5112000000"</f>
        <v>5112000000</v>
      </c>
      <c r="C422" s="18" t="str">
        <f>"Cardiovascular drugs"</f>
        <v>Cardiovascular drugs</v>
      </c>
      <c r="D422" s="18" t="s">
        <v>1895</v>
      </c>
    </row>
    <row r="423" spans="1:4">
      <c r="A423" s="18" t="s">
        <v>300</v>
      </c>
      <c r="B423" s="18" t="str">
        <f>"5112000080"</f>
        <v>5112000080</v>
      </c>
      <c r="C423" s="18" t="str">
        <f>"Cardiovascular drugs - Haz"</f>
        <v>Cardiovascular drugs - Haz</v>
      </c>
      <c r="D423" s="18" t="s">
        <v>1895</v>
      </c>
    </row>
    <row r="424" spans="1:4">
      <c r="A424" s="18" t="s">
        <v>300</v>
      </c>
      <c r="B424" s="18" t="str">
        <f>"5113000000"</f>
        <v>5113000000</v>
      </c>
      <c r="C424" s="18" t="str">
        <f>"Hematolic drugs"</f>
        <v>Hematolic drugs</v>
      </c>
      <c r="D424" s="18" t="s">
        <v>1895</v>
      </c>
    </row>
    <row r="425" spans="1:4">
      <c r="A425" s="18" t="s">
        <v>300</v>
      </c>
      <c r="B425" s="18" t="str">
        <f>"5113000080"</f>
        <v>5113000080</v>
      </c>
      <c r="C425" s="18" t="str">
        <f>"Hematolic drugs - Haz"</f>
        <v>Hematolic drugs - Haz</v>
      </c>
      <c r="D425" s="18" t="s">
        <v>1895</v>
      </c>
    </row>
    <row r="426" spans="1:4">
      <c r="A426" s="18" t="s">
        <v>300</v>
      </c>
      <c r="B426" s="18" t="str">
        <f>"5114000000"</f>
        <v>5114000000</v>
      </c>
      <c r="C426" s="18" t="str">
        <f>"Centrl nerve systm drugs"</f>
        <v>Centrl nerve systm drugs</v>
      </c>
      <c r="D426" s="18" t="s">
        <v>1895</v>
      </c>
    </row>
    <row r="427" spans="1:4">
      <c r="A427" s="18" t="s">
        <v>300</v>
      </c>
      <c r="B427" s="18" t="str">
        <f>"5114000080"</f>
        <v>5114000080</v>
      </c>
      <c r="C427" s="18" t="str">
        <f>"Centrl nerve systm drugs - Haz"</f>
        <v>Centrl nerve systm drugs - Haz</v>
      </c>
      <c r="D427" s="18" t="s">
        <v>1895</v>
      </c>
    </row>
    <row r="428" spans="1:4">
      <c r="A428" s="18" t="s">
        <v>300</v>
      </c>
      <c r="B428" s="18" t="str">
        <f>"5115000000"</f>
        <v>5115000000</v>
      </c>
      <c r="C428" s="18" t="str">
        <f>"Auto nerve systm drugs"</f>
        <v>Auto nerve systm drugs</v>
      </c>
      <c r="D428" s="18" t="s">
        <v>1895</v>
      </c>
    </row>
    <row r="429" spans="1:4">
      <c r="A429" s="18" t="s">
        <v>300</v>
      </c>
      <c r="B429" s="18" t="str">
        <f>"5115000080"</f>
        <v>5115000080</v>
      </c>
      <c r="C429" s="18" t="str">
        <f>"Auto nerve systm drugs - Haz"</f>
        <v>Auto nerve systm drugs - Haz</v>
      </c>
      <c r="D429" s="18" t="s">
        <v>1895</v>
      </c>
    </row>
    <row r="430" spans="1:4">
      <c r="A430" s="18" t="s">
        <v>300</v>
      </c>
      <c r="B430" s="18" t="str">
        <f>"5116000000"</f>
        <v>5116000000</v>
      </c>
      <c r="C430" s="18" t="str">
        <f>"Respiratory tract drugs"</f>
        <v>Respiratory tract drugs</v>
      </c>
      <c r="D430" s="18" t="s">
        <v>1895</v>
      </c>
    </row>
    <row r="431" spans="1:4">
      <c r="A431" s="18" t="s">
        <v>300</v>
      </c>
      <c r="B431" s="18" t="str">
        <f>"5116000080"</f>
        <v>5116000080</v>
      </c>
      <c r="C431" s="18" t="str">
        <f>"Respiratory tract drugs - Haz"</f>
        <v>Respiratory tract drugs - Haz</v>
      </c>
      <c r="D431" s="18" t="s">
        <v>1895</v>
      </c>
    </row>
    <row r="432" spans="1:4">
      <c r="A432" s="18" t="s">
        <v>300</v>
      </c>
      <c r="B432" s="18" t="str">
        <f>"5117000000"</f>
        <v>5117000000</v>
      </c>
      <c r="C432" s="18" t="str">
        <f>"Gastrointestinal drugs"</f>
        <v>Gastrointestinal drugs</v>
      </c>
      <c r="D432" s="18" t="s">
        <v>1895</v>
      </c>
    </row>
    <row r="433" spans="1:4">
      <c r="A433" s="18" t="s">
        <v>300</v>
      </c>
      <c r="B433" s="18" t="str">
        <f>"5117000080"</f>
        <v>5117000080</v>
      </c>
      <c r="C433" s="18" t="str">
        <f>"Gastrointestinal drugs - Haz"</f>
        <v>Gastrointestinal drugs - Haz</v>
      </c>
      <c r="D433" s="18" t="s">
        <v>1895</v>
      </c>
    </row>
    <row r="434" spans="1:4">
      <c r="A434" s="18" t="s">
        <v>300</v>
      </c>
      <c r="B434" s="18" t="str">
        <f>"5118000000"</f>
        <v>5118000000</v>
      </c>
      <c r="C434" s="18" t="str">
        <f>"Hormones"</f>
        <v>Hormones</v>
      </c>
      <c r="D434" s="18" t="s">
        <v>1895</v>
      </c>
    </row>
    <row r="435" spans="1:4">
      <c r="A435" s="18" t="s">
        <v>300</v>
      </c>
      <c r="B435" s="18" t="str">
        <f>"5118000080"</f>
        <v>5118000080</v>
      </c>
      <c r="C435" s="18" t="str">
        <f>"Hormones - Haz"</f>
        <v>Hormones - Haz</v>
      </c>
      <c r="D435" s="18" t="s">
        <v>1895</v>
      </c>
    </row>
    <row r="436" spans="1:4">
      <c r="A436" s="18" t="s">
        <v>300</v>
      </c>
      <c r="B436" s="18" t="str">
        <f>"5119000000"</f>
        <v>5119000000</v>
      </c>
      <c r="C436" s="18" t="str">
        <f>"Electrolytes agents"</f>
        <v>Electrolytes agents</v>
      </c>
      <c r="D436" s="18" t="s">
        <v>1895</v>
      </c>
    </row>
    <row r="437" spans="1:4">
      <c r="A437" s="18" t="s">
        <v>300</v>
      </c>
      <c r="B437" s="18" t="str">
        <f>"5119000080"</f>
        <v>5119000080</v>
      </c>
      <c r="C437" s="18" t="str">
        <f>"Electrolytes agents - Haz"</f>
        <v>Electrolytes agents - Haz</v>
      </c>
      <c r="D437" s="18" t="s">
        <v>1895</v>
      </c>
    </row>
    <row r="438" spans="1:4">
      <c r="A438" s="18" t="s">
        <v>300</v>
      </c>
      <c r="B438" s="18" t="str">
        <f>"5120000000"</f>
        <v>5120000000</v>
      </c>
      <c r="C438" s="18" t="str">
        <f>"Immunomodulating drugs"</f>
        <v>Immunomodulating drugs</v>
      </c>
      <c r="D438" s="18" t="s">
        <v>1895</v>
      </c>
    </row>
    <row r="439" spans="1:4">
      <c r="A439" s="18" t="s">
        <v>300</v>
      </c>
      <c r="B439" s="18" t="str">
        <f>"5120000080"</f>
        <v>5120000080</v>
      </c>
      <c r="C439" s="18" t="str">
        <f>"Immunomodulating drugs - Haz"</f>
        <v>Immunomodulating drugs - Haz</v>
      </c>
      <c r="D439" s="18" t="s">
        <v>1895</v>
      </c>
    </row>
    <row r="440" spans="1:4">
      <c r="A440" s="18" t="s">
        <v>300</v>
      </c>
      <c r="B440" s="18" t="str">
        <f>"5121000000"</f>
        <v>5121000000</v>
      </c>
      <c r="C440" s="18" t="str">
        <f>"Miscellaneous drug"</f>
        <v>Miscellaneous drug</v>
      </c>
      <c r="D440" s="18" t="s">
        <v>1895</v>
      </c>
    </row>
    <row r="441" spans="1:4">
      <c r="A441" s="18" t="s">
        <v>300</v>
      </c>
      <c r="B441" s="18" t="str">
        <f>"5121000080"</f>
        <v>5121000080</v>
      </c>
      <c r="C441" s="18" t="str">
        <f>"Miscellaneous drug - Haz"</f>
        <v>Miscellaneous drug - Haz</v>
      </c>
      <c r="D441" s="18" t="s">
        <v>1895</v>
      </c>
    </row>
    <row r="442" spans="1:4">
      <c r="A442" s="18" t="s">
        <v>300</v>
      </c>
      <c r="B442" s="18" t="str">
        <f>"5124000000"</f>
        <v>5124000000</v>
      </c>
      <c r="C442" s="18" t="str">
        <f>"Drugs for ear, eye, nose"</f>
        <v>Drugs for ear, eye, nose</v>
      </c>
      <c r="D442" s="18" t="s">
        <v>1895</v>
      </c>
    </row>
    <row r="443" spans="1:4">
      <c r="A443" s="18" t="s">
        <v>300</v>
      </c>
      <c r="B443" s="18" t="str">
        <f>"5124000080"</f>
        <v>5124000080</v>
      </c>
      <c r="C443" s="18" t="str">
        <f>"Drugs for ear, eye, nose - Haz"</f>
        <v>Drugs for ear, eye, nose - Haz</v>
      </c>
      <c r="D443" s="18" t="s">
        <v>1895</v>
      </c>
    </row>
    <row r="444" spans="1:4">
      <c r="A444" s="18" t="s">
        <v>300</v>
      </c>
      <c r="B444" s="18" t="str">
        <f>"5125000000"</f>
        <v>5125000000</v>
      </c>
      <c r="C444" s="18" t="str">
        <f>"Veterinary nutrition"</f>
        <v>Veterinary nutrition</v>
      </c>
      <c r="D444" s="18" t="s">
        <v>1895</v>
      </c>
    </row>
    <row r="445" spans="1:4">
      <c r="A445" s="18" t="s">
        <v>300</v>
      </c>
      <c r="B445" s="18" t="str">
        <f>"5125000080"</f>
        <v>5125000080</v>
      </c>
      <c r="C445" s="18" t="str">
        <f>"Veterinary nutrition - Haz"</f>
        <v>Veterinary nutrition - Haz</v>
      </c>
      <c r="D445" s="18" t="s">
        <v>1895</v>
      </c>
    </row>
    <row r="446" spans="1:4">
      <c r="A446" s="18" t="s">
        <v>300</v>
      </c>
      <c r="B446" s="18" t="str">
        <f>"5200000000"</f>
        <v>5200000000</v>
      </c>
      <c r="C446" s="18" t="str">
        <f>"5200000000"</f>
        <v>5200000000</v>
      </c>
      <c r="D446" s="18" t="s">
        <v>1895</v>
      </c>
    </row>
    <row r="447" spans="1:4">
      <c r="A447" s="18" t="s">
        <v>300</v>
      </c>
      <c r="B447" s="18" t="str">
        <f>"5210000000"</f>
        <v>5210000000</v>
      </c>
      <c r="C447" s="18" t="str">
        <f>"Floor coverings"</f>
        <v>Floor coverings</v>
      </c>
      <c r="D447" s="18" t="s">
        <v>1895</v>
      </c>
    </row>
    <row r="448" spans="1:4">
      <c r="A448" s="18" t="s">
        <v>300</v>
      </c>
      <c r="B448" s="18" t="str">
        <f>"5212000000"</f>
        <v>5212000000</v>
      </c>
      <c r="C448" s="18" t="str">
        <f>"Bed and kitchen linens"</f>
        <v>Bed and kitchen linens</v>
      </c>
      <c r="D448" s="18" t="s">
        <v>1895</v>
      </c>
    </row>
    <row r="449" spans="1:4">
      <c r="A449" s="18" t="s">
        <v>300</v>
      </c>
      <c r="B449" s="18" t="str">
        <f>"5213000000"</f>
        <v>5213000000</v>
      </c>
      <c r="C449" s="18" t="str">
        <f>"Window treatments"</f>
        <v>Window treatments</v>
      </c>
      <c r="D449" s="18" t="s">
        <v>1895</v>
      </c>
    </row>
    <row r="450" spans="1:4">
      <c r="A450" s="18" t="s">
        <v>300</v>
      </c>
      <c r="B450" s="18" t="str">
        <f>"5214000000"</f>
        <v>5214000000</v>
      </c>
      <c r="C450" s="18" t="str">
        <f>"Domestic appliances"</f>
        <v>Domestic appliances</v>
      </c>
      <c r="D450" s="18" t="s">
        <v>1895</v>
      </c>
    </row>
    <row r="451" spans="1:4">
      <c r="A451" s="18" t="s">
        <v>300</v>
      </c>
      <c r="B451" s="18" t="str">
        <f>"5215000000"</f>
        <v>5215000000</v>
      </c>
      <c r="C451" s="18" t="str">
        <f>"Kitchen supplies"</f>
        <v>Kitchen supplies</v>
      </c>
      <c r="D451" s="18" t="s">
        <v>1895</v>
      </c>
    </row>
    <row r="452" spans="1:4">
      <c r="A452" s="18" t="s">
        <v>300</v>
      </c>
      <c r="B452" s="18" t="str">
        <f>"5215000090"</f>
        <v>5215000090</v>
      </c>
      <c r="C452" s="18" t="str">
        <f>"Kitchen supplies - Grn"</f>
        <v>Kitchen supplies - Grn</v>
      </c>
      <c r="D452" s="18" t="s">
        <v>1895</v>
      </c>
    </row>
    <row r="453" spans="1:4">
      <c r="A453" s="18" t="s">
        <v>300</v>
      </c>
      <c r="B453" s="18" t="str">
        <f>"5216000000"</f>
        <v>5216000000</v>
      </c>
      <c r="C453" s="18" t="str">
        <f>"Consumer electronics"</f>
        <v>Consumer electronics</v>
      </c>
      <c r="D453" s="18" t="s">
        <v>1895</v>
      </c>
    </row>
    <row r="454" spans="1:4">
      <c r="A454" s="18" t="s">
        <v>300</v>
      </c>
      <c r="B454" s="18" t="str">
        <f>"5217000000"</f>
        <v>5217000000</v>
      </c>
      <c r="C454" s="18" t="str">
        <f>"Domestic wall treatments"</f>
        <v>Domestic wall treatments</v>
      </c>
      <c r="D454" s="18" t="s">
        <v>1895</v>
      </c>
    </row>
    <row r="455" spans="1:4">
      <c r="A455" s="18" t="s">
        <v>300</v>
      </c>
      <c r="B455" s="18" t="str">
        <f>"5300000000"</f>
        <v>5300000000</v>
      </c>
      <c r="C455" s="18" t="str">
        <f>"5300000000"</f>
        <v>5300000000</v>
      </c>
      <c r="D455" s="18" t="s">
        <v>1895</v>
      </c>
    </row>
    <row r="456" spans="1:4">
      <c r="A456" s="18" t="s">
        <v>300</v>
      </c>
      <c r="B456" s="18" t="str">
        <f>"5310000000"</f>
        <v>5310000000</v>
      </c>
      <c r="C456" s="18" t="str">
        <f>"Clothing"</f>
        <v>Clothing</v>
      </c>
      <c r="D456" s="18" t="s">
        <v>1895</v>
      </c>
    </row>
    <row r="457" spans="1:4">
      <c r="A457" s="18" t="s">
        <v>300</v>
      </c>
      <c r="B457" s="18" t="str">
        <f>"5310270000"</f>
        <v>5310270000</v>
      </c>
      <c r="C457" s="18" t="str">
        <f>"Uniforms"</f>
        <v>Uniforms</v>
      </c>
      <c r="D457" s="18" t="s">
        <v>1895</v>
      </c>
    </row>
    <row r="458" spans="1:4">
      <c r="A458" s="18" t="s">
        <v>300</v>
      </c>
      <c r="B458" s="18" t="str">
        <f>"5311000000"</f>
        <v>5311000000</v>
      </c>
      <c r="C458" s="18" t="str">
        <f>"Footwear"</f>
        <v>Footwear</v>
      </c>
      <c r="D458" s="18" t="s">
        <v>1895</v>
      </c>
    </row>
    <row r="459" spans="1:4">
      <c r="A459" s="18" t="s">
        <v>300</v>
      </c>
      <c r="B459" s="18" t="str">
        <f>"5312000000"</f>
        <v>5312000000</v>
      </c>
      <c r="C459" s="18" t="str">
        <f>"Luggage &amp; accssrs"</f>
        <v>Luggage &amp; accssrs</v>
      </c>
      <c r="D459" s="18" t="s">
        <v>1895</v>
      </c>
    </row>
    <row r="460" spans="1:4">
      <c r="A460" s="18" t="s">
        <v>300</v>
      </c>
      <c r="B460" s="18" t="str">
        <f>"5313000000"</f>
        <v>5313000000</v>
      </c>
      <c r="C460" s="18" t="str">
        <f>"Personal care products"</f>
        <v>Personal care products</v>
      </c>
      <c r="D460" s="18" t="s">
        <v>1895</v>
      </c>
    </row>
    <row r="461" spans="1:4">
      <c r="A461" s="18" t="s">
        <v>300</v>
      </c>
      <c r="B461" s="18" t="str">
        <f>"5314000000"</f>
        <v>5314000000</v>
      </c>
      <c r="C461" s="18" t="str">
        <f>"Sewing supplies &amp; accssrs"</f>
        <v>Sewing supplies &amp; accssrs</v>
      </c>
      <c r="D461" s="18" t="s">
        <v>1895</v>
      </c>
    </row>
    <row r="462" spans="1:4">
      <c r="A462" s="18" t="s">
        <v>300</v>
      </c>
      <c r="B462" s="18" t="str">
        <f>"5400000000"</f>
        <v>5400000000</v>
      </c>
      <c r="C462" s="18" t="str">
        <f>"5400000000"</f>
        <v>5400000000</v>
      </c>
      <c r="D462" s="18" t="s">
        <v>1895</v>
      </c>
    </row>
    <row r="463" spans="1:4">
      <c r="A463" s="18" t="s">
        <v>300</v>
      </c>
      <c r="B463" s="18" t="str">
        <f>"5410000000"</f>
        <v>5410000000</v>
      </c>
      <c r="C463" s="18" t="str">
        <f>"Jewelry"</f>
        <v>Jewelry</v>
      </c>
      <c r="D463" s="18" t="s">
        <v>1895</v>
      </c>
    </row>
    <row r="464" spans="1:4">
      <c r="A464" s="18" t="s">
        <v>300</v>
      </c>
      <c r="B464" s="18" t="str">
        <f>"5411000000"</f>
        <v>5411000000</v>
      </c>
      <c r="C464" s="18" t="str">
        <f>"Timepieces"</f>
        <v>Timepieces</v>
      </c>
      <c r="D464" s="18" t="s">
        <v>1895</v>
      </c>
    </row>
    <row r="465" spans="1:4">
      <c r="A465" s="18" t="s">
        <v>300</v>
      </c>
      <c r="B465" s="18" t="str">
        <f>"5412000000"</f>
        <v>5412000000</v>
      </c>
      <c r="C465" s="18" t="str">
        <f>"Gemstones"</f>
        <v>Gemstones</v>
      </c>
      <c r="D465" s="18" t="s">
        <v>1895</v>
      </c>
    </row>
    <row r="466" spans="1:4">
      <c r="A466" s="18" t="s">
        <v>300</v>
      </c>
      <c r="B466" s="18" t="str">
        <f>"5500000000"</f>
        <v>5500000000</v>
      </c>
      <c r="C466" s="18" t="str">
        <f>"5500000000"</f>
        <v>5500000000</v>
      </c>
      <c r="D466" s="18" t="s">
        <v>1895</v>
      </c>
    </row>
    <row r="467" spans="1:4">
      <c r="A467" s="18" t="s">
        <v>300</v>
      </c>
      <c r="B467" s="18" t="str">
        <f>"5510000000"</f>
        <v>5510000000</v>
      </c>
      <c r="C467" s="18" t="str">
        <f>"Printed media"</f>
        <v>Printed media</v>
      </c>
      <c r="D467" s="18" t="s">
        <v>1895</v>
      </c>
    </row>
    <row r="468" spans="1:4">
      <c r="A468" s="18" t="s">
        <v>300</v>
      </c>
      <c r="B468" s="18" t="str">
        <f>"5510150900"</f>
        <v>5510150900</v>
      </c>
      <c r="C468" s="18" t="str">
        <f>"Text Books"</f>
        <v>Text Books</v>
      </c>
      <c r="D468" s="18" t="s">
        <v>1895</v>
      </c>
    </row>
    <row r="469" spans="1:4">
      <c r="A469" s="18" t="s">
        <v>300</v>
      </c>
      <c r="B469" s="18" t="str">
        <f>"5510151900"</f>
        <v>5510151900</v>
      </c>
      <c r="C469" s="18" t="str">
        <f>"Subscriptions"</f>
        <v>Subscriptions</v>
      </c>
      <c r="D469" s="18" t="s">
        <v>1895</v>
      </c>
    </row>
    <row r="470" spans="1:4">
      <c r="A470" s="18" t="s">
        <v>300</v>
      </c>
      <c r="B470" s="18" t="str">
        <f>"5511000000"</f>
        <v>5511000000</v>
      </c>
      <c r="C470" s="18" t="str">
        <f>"Electronic reference material"</f>
        <v>Electronic reference material</v>
      </c>
      <c r="D470" s="18" t="s">
        <v>1895</v>
      </c>
    </row>
    <row r="471" spans="1:4">
      <c r="A471" s="18" t="s">
        <v>300</v>
      </c>
      <c r="B471" s="18" t="str">
        <f>"5512000000"</f>
        <v>5512000000</v>
      </c>
      <c r="C471" s="18" t="str">
        <f>"Signage &amp; accssrs"</f>
        <v>Signage &amp; accssrs</v>
      </c>
      <c r="D471" s="18" t="s">
        <v>1895</v>
      </c>
    </row>
    <row r="472" spans="1:4">
      <c r="A472" s="18" t="s">
        <v>300</v>
      </c>
      <c r="B472" s="18" t="str">
        <f>"5600000000"</f>
        <v>5600000000</v>
      </c>
      <c r="C472" s="18" t="str">
        <f>"5600000000"</f>
        <v>5600000000</v>
      </c>
      <c r="D472" s="18" t="s">
        <v>1895</v>
      </c>
    </row>
    <row r="473" spans="1:4">
      <c r="A473" s="18" t="s">
        <v>300</v>
      </c>
      <c r="B473" s="18" t="str">
        <f>"5610000000"</f>
        <v>5610000000</v>
      </c>
      <c r="C473" s="18" t="str">
        <f>"Accommodation furniture"</f>
        <v>Accommodation furniture</v>
      </c>
      <c r="D473" s="18" t="s">
        <v>1895</v>
      </c>
    </row>
    <row r="474" spans="1:4">
      <c r="A474" s="18" t="s">
        <v>300</v>
      </c>
      <c r="B474" s="18" t="str">
        <f>"5610000090"</f>
        <v>5610000090</v>
      </c>
      <c r="C474" s="18" t="str">
        <f>"Accommodation furniture - Grn"</f>
        <v>Accommodation furniture - Grn</v>
      </c>
      <c r="D474" s="18" t="s">
        <v>1895</v>
      </c>
    </row>
    <row r="475" spans="1:4">
      <c r="A475" s="18" t="s">
        <v>300</v>
      </c>
      <c r="B475" s="18" t="str">
        <f>"5611000000"</f>
        <v>5611000000</v>
      </c>
      <c r="C475" s="18" t="str">
        <f>"Commercial furniture"</f>
        <v>Commercial furniture</v>
      </c>
      <c r="D475" s="18" t="s">
        <v>1895</v>
      </c>
    </row>
    <row r="476" spans="1:4">
      <c r="A476" s="18" t="s">
        <v>300</v>
      </c>
      <c r="B476" s="18" t="str">
        <f>"5611000090"</f>
        <v>5611000090</v>
      </c>
      <c r="C476" s="18" t="str">
        <f>"Commercial furniture - Grn"</f>
        <v>Commercial furniture - Grn</v>
      </c>
      <c r="D476" s="18" t="s">
        <v>1895</v>
      </c>
    </row>
    <row r="477" spans="1:4">
      <c r="A477" s="18" t="s">
        <v>300</v>
      </c>
      <c r="B477" s="18" t="str">
        <f>"5612000000"</f>
        <v>5612000000</v>
      </c>
      <c r="C477" s="18" t="str">
        <f>"Instructional furnishing"</f>
        <v>Instructional furnishing</v>
      </c>
      <c r="D477" s="18" t="s">
        <v>1895</v>
      </c>
    </row>
    <row r="478" spans="1:4">
      <c r="A478" s="18" t="s">
        <v>300</v>
      </c>
      <c r="B478" s="18" t="str">
        <f>"5612000090"</f>
        <v>5612000090</v>
      </c>
      <c r="C478" s="18" t="str">
        <f>"Instructional furnishing - Grn"</f>
        <v>Instructional furnishing - Grn</v>
      </c>
      <c r="D478" s="18" t="s">
        <v>1895</v>
      </c>
    </row>
    <row r="479" spans="1:4">
      <c r="A479" s="18" t="s">
        <v>300</v>
      </c>
      <c r="B479" s="18" t="str">
        <f>"5613000000"</f>
        <v>5613000000</v>
      </c>
      <c r="C479" s="18" t="str">
        <f>"Merchandising furnishing"</f>
        <v>Merchandising furnishing</v>
      </c>
      <c r="D479" s="18" t="s">
        <v>1895</v>
      </c>
    </row>
    <row r="480" spans="1:4">
      <c r="A480" s="18" t="s">
        <v>300</v>
      </c>
      <c r="B480" s="18" t="str">
        <f>"5613000090"</f>
        <v>5613000090</v>
      </c>
      <c r="C480" s="18" t="str">
        <f>"Merchandising furnishing - Grn"</f>
        <v>Merchandising furnishing - Grn</v>
      </c>
      <c r="D480" s="18" t="s">
        <v>1895</v>
      </c>
    </row>
    <row r="481" spans="1:4">
      <c r="A481" s="18" t="s">
        <v>300</v>
      </c>
      <c r="B481" s="18" t="str">
        <f>"6000000000"</f>
        <v>6000000000</v>
      </c>
      <c r="C481" s="18" t="str">
        <f>"6000000000"</f>
        <v>6000000000</v>
      </c>
      <c r="D481" s="18" t="s">
        <v>1895</v>
      </c>
    </row>
    <row r="482" spans="1:4">
      <c r="A482" s="18" t="s">
        <v>300</v>
      </c>
      <c r="B482" s="18" t="str">
        <f>"6010000000"</f>
        <v>6010000000</v>
      </c>
      <c r="C482" s="18" t="str">
        <f>"Teaching aids"</f>
        <v>Teaching aids</v>
      </c>
      <c r="D482" s="18" t="s">
        <v>1895</v>
      </c>
    </row>
    <row r="483" spans="1:4">
      <c r="A483" s="18" t="s">
        <v>300</v>
      </c>
      <c r="B483" s="18" t="str">
        <f>"6011000000"</f>
        <v>6011000000</v>
      </c>
      <c r="C483" s="18" t="str">
        <f>"Classroom decorations"</f>
        <v>Classroom decorations</v>
      </c>
      <c r="D483" s="18" t="s">
        <v>1895</v>
      </c>
    </row>
    <row r="484" spans="1:4">
      <c r="A484" s="18" t="s">
        <v>300</v>
      </c>
      <c r="B484" s="18" t="str">
        <f>"6012000000"</f>
        <v>6012000000</v>
      </c>
      <c r="C484" s="18" t="str">
        <f>"Arts &amp; crafts supplies"</f>
        <v>Arts &amp; crafts supplies</v>
      </c>
      <c r="D484" s="18" t="s">
        <v>1895</v>
      </c>
    </row>
    <row r="485" spans="1:4">
      <c r="A485" s="18" t="s">
        <v>300</v>
      </c>
      <c r="B485" s="18" t="str">
        <f>"6012000080"</f>
        <v>6012000080</v>
      </c>
      <c r="C485" s="18" t="str">
        <f>"Arts &amp; crafts supplies - Haz"</f>
        <v>Arts &amp; crafts supplies - Haz</v>
      </c>
      <c r="D485" s="18" t="s">
        <v>1895</v>
      </c>
    </row>
    <row r="486" spans="1:4">
      <c r="A486" s="18" t="s">
        <v>300</v>
      </c>
      <c r="B486" s="18" t="str">
        <f>"6013000000"</f>
        <v>6013000000</v>
      </c>
      <c r="C486" s="18" t="str">
        <f>"Musical Instruments &amp; parts"</f>
        <v>Musical Instruments &amp; parts</v>
      </c>
      <c r="D486" s="18" t="s">
        <v>1895</v>
      </c>
    </row>
    <row r="487" spans="1:4">
      <c r="A487" s="18" t="s">
        <v>300</v>
      </c>
      <c r="B487" s="18" t="str">
        <f>"6014000000"</f>
        <v>6014000000</v>
      </c>
      <c r="C487" s="18" t="str">
        <f>"Toys &amp; games"</f>
        <v>Toys &amp; games</v>
      </c>
      <c r="D487" s="18" t="s">
        <v>1895</v>
      </c>
    </row>
    <row r="488" spans="1:4">
      <c r="A488" s="18" t="s">
        <v>300</v>
      </c>
      <c r="B488" s="18" t="str">
        <f>"7000000000"</f>
        <v>7000000000</v>
      </c>
      <c r="C488" s="18" t="str">
        <f>"7000000000"</f>
        <v>7000000000</v>
      </c>
      <c r="D488" s="18" t="s">
        <v>1895</v>
      </c>
    </row>
    <row r="489" spans="1:4">
      <c r="A489" s="18" t="s">
        <v>300</v>
      </c>
      <c r="B489" s="18" t="str">
        <f>"7010000000"</f>
        <v>7010000000</v>
      </c>
      <c r="C489" s="18" t="str">
        <f>"Fisheries &amp; aquaculture"</f>
        <v>Fisheries &amp; aquaculture</v>
      </c>
      <c r="D489" s="18" t="s">
        <v>1895</v>
      </c>
    </row>
    <row r="490" spans="1:4">
      <c r="A490" s="18" t="s">
        <v>300</v>
      </c>
      <c r="B490" s="18" t="str">
        <f>"7011000000"</f>
        <v>7011000000</v>
      </c>
      <c r="C490" s="18" t="str">
        <f>"Horticulture"</f>
        <v>Horticulture</v>
      </c>
      <c r="D490" s="18" t="s">
        <v>1895</v>
      </c>
    </row>
    <row r="491" spans="1:4">
      <c r="A491" s="18" t="s">
        <v>300</v>
      </c>
      <c r="B491" s="18" t="str">
        <f>"7012000000"</f>
        <v>7012000000</v>
      </c>
      <c r="C491" s="18" t="str">
        <f>"Livestock svcs"</f>
        <v>Livestock svcs</v>
      </c>
      <c r="D491" s="18" t="s">
        <v>1895</v>
      </c>
    </row>
    <row r="492" spans="1:4">
      <c r="A492" s="18" t="s">
        <v>300</v>
      </c>
      <c r="B492" s="18" t="str">
        <f>"7012000080"</f>
        <v>7012000080</v>
      </c>
      <c r="C492" s="18" t="str">
        <f>"Livestock svcs - Haz"</f>
        <v>Livestock svcs - Haz</v>
      </c>
      <c r="D492" s="18" t="s">
        <v>1895</v>
      </c>
    </row>
    <row r="493" spans="1:4">
      <c r="A493" s="18" t="s">
        <v>300</v>
      </c>
      <c r="B493" s="18" t="str">
        <f>"7013000000"</f>
        <v>7013000000</v>
      </c>
      <c r="C493" s="18" t="str">
        <f>"Land mgmt &amp; protection"</f>
        <v>Land mgmt &amp; protection</v>
      </c>
      <c r="D493" s="18" t="s">
        <v>1895</v>
      </c>
    </row>
    <row r="494" spans="1:4">
      <c r="A494" s="18" t="s">
        <v>300</v>
      </c>
      <c r="B494" s="18" t="str">
        <f>"7013000080"</f>
        <v>7013000080</v>
      </c>
      <c r="C494" s="18" t="str">
        <f>"Land mgmt &amp; protection - Haz"</f>
        <v>Land mgmt &amp; protection - Haz</v>
      </c>
      <c r="D494" s="18" t="s">
        <v>1895</v>
      </c>
    </row>
    <row r="495" spans="1:4">
      <c r="A495" s="18" t="s">
        <v>300</v>
      </c>
      <c r="B495" s="18" t="str">
        <f>"7013000090"</f>
        <v>7013000090</v>
      </c>
      <c r="C495" s="18" t="str">
        <f>"Land mgmt &amp; protection - Grn"</f>
        <v>Land mgmt &amp; protection - Grn</v>
      </c>
      <c r="D495" s="18" t="s">
        <v>1895</v>
      </c>
    </row>
    <row r="496" spans="1:4" ht="27">
      <c r="A496" s="18" t="s">
        <v>300</v>
      </c>
      <c r="B496" s="18" t="str">
        <f>"7014000000"</f>
        <v>7014000000</v>
      </c>
      <c r="C496" s="18" t="str">
        <f>"Crop prodn &amp; mgmt &amp; protection"</f>
        <v>Crop prodn &amp; mgmt &amp; protection</v>
      </c>
      <c r="D496" s="18" t="s">
        <v>1895</v>
      </c>
    </row>
    <row r="497" spans="1:4">
      <c r="A497" s="18" t="s">
        <v>300</v>
      </c>
      <c r="B497" s="18" t="str">
        <f>"7015000000"</f>
        <v>7015000000</v>
      </c>
      <c r="C497" s="18" t="str">
        <f>"frstry"</f>
        <v>frstry</v>
      </c>
      <c r="D497" s="18" t="s">
        <v>1895</v>
      </c>
    </row>
    <row r="498" spans="1:4">
      <c r="A498" s="18" t="s">
        <v>300</v>
      </c>
      <c r="B498" s="18" t="str">
        <f>"7015000090"</f>
        <v>7015000090</v>
      </c>
      <c r="C498" s="18" t="str">
        <f>"frstry - Grn"</f>
        <v>frstry - Grn</v>
      </c>
      <c r="D498" s="18" t="s">
        <v>1895</v>
      </c>
    </row>
    <row r="499" spans="1:4">
      <c r="A499" s="18" t="s">
        <v>300</v>
      </c>
      <c r="B499" s="18" t="str">
        <f>"7016000000"</f>
        <v>7016000000</v>
      </c>
      <c r="C499" s="18" t="str">
        <f>"Wildlife &amp; flora"</f>
        <v>Wildlife &amp; flora</v>
      </c>
      <c r="D499" s="18" t="s">
        <v>1895</v>
      </c>
    </row>
    <row r="500" spans="1:4">
      <c r="A500" s="18" t="s">
        <v>300</v>
      </c>
      <c r="B500" s="18" t="str">
        <f>"7016000090"</f>
        <v>7016000090</v>
      </c>
      <c r="C500" s="18" t="str">
        <f>"Wildlife &amp; flora - Grn"</f>
        <v>Wildlife &amp; flora - Grn</v>
      </c>
      <c r="D500" s="18" t="s">
        <v>1895</v>
      </c>
    </row>
    <row r="501" spans="1:4">
      <c r="A501" s="18" t="s">
        <v>300</v>
      </c>
      <c r="B501" s="18" t="str">
        <f>"7017000000"</f>
        <v>7017000000</v>
      </c>
      <c r="C501" s="18" t="str">
        <f>"Water resources devlpmt"</f>
        <v>Water resources devlpmt</v>
      </c>
      <c r="D501" s="18" t="s">
        <v>1895</v>
      </c>
    </row>
    <row r="502" spans="1:4">
      <c r="A502" s="18" t="s">
        <v>300</v>
      </c>
      <c r="B502" s="18" t="str">
        <f>"7017000080"</f>
        <v>7017000080</v>
      </c>
      <c r="C502" s="18" t="str">
        <f>"Water resource devlpmt - Haz"</f>
        <v>Water resource devlpmt - Haz</v>
      </c>
      <c r="D502" s="18" t="s">
        <v>1895</v>
      </c>
    </row>
    <row r="503" spans="1:4">
      <c r="A503" s="18" t="s">
        <v>300</v>
      </c>
      <c r="B503" s="18" t="str">
        <f>"7017000090"</f>
        <v>7017000090</v>
      </c>
      <c r="C503" s="18" t="str">
        <f>"Water resources devlpmt - Grn"</f>
        <v>Water resources devlpmt - Grn</v>
      </c>
      <c r="D503" s="18" t="s">
        <v>1895</v>
      </c>
    </row>
    <row r="504" spans="1:4">
      <c r="A504" s="18" t="s">
        <v>300</v>
      </c>
      <c r="B504" s="18" t="str">
        <f>"7100000000"</f>
        <v>7100000000</v>
      </c>
      <c r="C504" s="18" t="str">
        <f>"7100000000"</f>
        <v>7100000000</v>
      </c>
      <c r="D504" s="18" t="s">
        <v>1895</v>
      </c>
    </row>
    <row r="505" spans="1:4">
      <c r="A505" s="18" t="s">
        <v>300</v>
      </c>
      <c r="B505" s="18" t="str">
        <f>"7110000000"</f>
        <v>7110000000</v>
      </c>
      <c r="C505" s="18" t="str">
        <f>"Mining svcs"</f>
        <v>Mining svcs</v>
      </c>
      <c r="D505" s="18" t="s">
        <v>1895</v>
      </c>
    </row>
    <row r="506" spans="1:4">
      <c r="A506" s="18" t="s">
        <v>300</v>
      </c>
      <c r="B506" s="18" t="str">
        <f>"7110000080"</f>
        <v>7110000080</v>
      </c>
      <c r="C506" s="18" t="str">
        <f>"Mining svcs - Haz"</f>
        <v>Mining svcs - Haz</v>
      </c>
      <c r="D506" s="18" t="s">
        <v>1895</v>
      </c>
    </row>
    <row r="507" spans="1:4">
      <c r="A507" s="18" t="s">
        <v>300</v>
      </c>
      <c r="B507" s="18" t="str">
        <f>"7110000090"</f>
        <v>7110000090</v>
      </c>
      <c r="C507" s="18" t="str">
        <f>"Mining svcs - Grn"</f>
        <v>Mining svcs - Grn</v>
      </c>
      <c r="D507" s="18" t="s">
        <v>1895</v>
      </c>
    </row>
    <row r="508" spans="1:4">
      <c r="A508" s="18" t="s">
        <v>300</v>
      </c>
      <c r="B508" s="18" t="str">
        <f>"7111000000"</f>
        <v>7111000000</v>
      </c>
      <c r="C508" s="18" t="str">
        <f>"Oil &amp; gas exploration"</f>
        <v>Oil &amp; gas exploration</v>
      </c>
      <c r="D508" s="18" t="s">
        <v>1895</v>
      </c>
    </row>
    <row r="509" spans="1:4">
      <c r="A509" s="18" t="s">
        <v>300</v>
      </c>
      <c r="B509" s="18" t="str">
        <f>"7111000080"</f>
        <v>7111000080</v>
      </c>
      <c r="C509" s="18" t="str">
        <f>"Oil &amp; gas exploration - Haz"</f>
        <v>Oil &amp; gas exploration - Haz</v>
      </c>
      <c r="D509" s="18" t="s">
        <v>1895</v>
      </c>
    </row>
    <row r="510" spans="1:4">
      <c r="A510" s="18" t="s">
        <v>300</v>
      </c>
      <c r="B510" s="18" t="str">
        <f>"7111000090"</f>
        <v>7111000090</v>
      </c>
      <c r="C510" s="18" t="str">
        <f>"Oil &amp; gas exploration- Grn"</f>
        <v>Oil &amp; gas exploration- Grn</v>
      </c>
      <c r="D510" s="18" t="s">
        <v>1895</v>
      </c>
    </row>
    <row r="511" spans="1:4">
      <c r="A511" s="18" t="s">
        <v>300</v>
      </c>
      <c r="B511" s="18" t="str">
        <f>"7112000000"</f>
        <v>7112000000</v>
      </c>
      <c r="C511" s="18" t="str">
        <f>"Well drilling svcs"</f>
        <v>Well drilling svcs</v>
      </c>
      <c r="D511" s="18" t="s">
        <v>1895</v>
      </c>
    </row>
    <row r="512" spans="1:4">
      <c r="A512" s="18" t="s">
        <v>300</v>
      </c>
      <c r="B512" s="18" t="str">
        <f>"7112000080"</f>
        <v>7112000080</v>
      </c>
      <c r="C512" s="18" t="str">
        <f>"Well drilling svcs - Haz"</f>
        <v>Well drilling svcs - Haz</v>
      </c>
      <c r="D512" s="18" t="s">
        <v>1895</v>
      </c>
    </row>
    <row r="513" spans="1:4">
      <c r="A513" s="18" t="s">
        <v>300</v>
      </c>
      <c r="B513" s="18" t="str">
        <f>"7112000090"</f>
        <v>7112000090</v>
      </c>
      <c r="C513" s="18" t="str">
        <f>"Well drilling svcs - Grn"</f>
        <v>Well drilling svcs - Grn</v>
      </c>
      <c r="D513" s="18" t="s">
        <v>1895</v>
      </c>
    </row>
    <row r="514" spans="1:4">
      <c r="A514" s="18" t="s">
        <v>300</v>
      </c>
      <c r="B514" s="18" t="str">
        <f>"7113000000"</f>
        <v>7113000000</v>
      </c>
      <c r="C514" s="18" t="str">
        <f>"Oil &amp; gas extraction"</f>
        <v>Oil &amp; gas extraction</v>
      </c>
      <c r="D514" s="18" t="s">
        <v>1895</v>
      </c>
    </row>
    <row r="515" spans="1:4">
      <c r="A515" s="18" t="s">
        <v>300</v>
      </c>
      <c r="B515" s="18" t="str">
        <f>"7113000080"</f>
        <v>7113000080</v>
      </c>
      <c r="C515" s="18" t="str">
        <f>"Oil &amp; gas extraction - Haz"</f>
        <v>Oil &amp; gas extraction - Haz</v>
      </c>
      <c r="D515" s="18" t="s">
        <v>1895</v>
      </c>
    </row>
    <row r="516" spans="1:4">
      <c r="A516" s="18" t="s">
        <v>300</v>
      </c>
      <c r="B516" s="18" t="str">
        <f>"7113000090"</f>
        <v>7113000090</v>
      </c>
      <c r="C516" s="18" t="str">
        <f>"Oil &amp; gas extraction - Grn"</f>
        <v>Oil &amp; gas extraction - Grn</v>
      </c>
      <c r="D516" s="18" t="s">
        <v>1895</v>
      </c>
    </row>
    <row r="517" spans="1:4">
      <c r="A517" s="18" t="s">
        <v>300</v>
      </c>
      <c r="B517" s="18" t="str">
        <f>"7114000000"</f>
        <v>7114000000</v>
      </c>
      <c r="C517" s="18" t="str">
        <f>"Oil &amp; gas restoration"</f>
        <v>Oil &amp; gas restoration</v>
      </c>
      <c r="D517" s="18" t="s">
        <v>1895</v>
      </c>
    </row>
    <row r="518" spans="1:4">
      <c r="A518" s="18" t="s">
        <v>300</v>
      </c>
      <c r="B518" s="18" t="str">
        <f>"7114000080"</f>
        <v>7114000080</v>
      </c>
      <c r="C518" s="18" t="str">
        <f>"Oil &amp; gas restoration - Haz"</f>
        <v>Oil &amp; gas restoration - Haz</v>
      </c>
      <c r="D518" s="18" t="s">
        <v>1895</v>
      </c>
    </row>
    <row r="519" spans="1:4">
      <c r="A519" s="18" t="s">
        <v>300</v>
      </c>
      <c r="B519" s="18" t="str">
        <f>"7114000090"</f>
        <v>7114000090</v>
      </c>
      <c r="C519" s="18" t="str">
        <f>"Oil &amp; gas restoration - Grn"</f>
        <v>Oil &amp; gas restoration - Grn</v>
      </c>
      <c r="D519" s="18" t="s">
        <v>1895</v>
      </c>
    </row>
    <row r="520" spans="1:4">
      <c r="A520" s="18" t="s">
        <v>300</v>
      </c>
      <c r="B520" s="18" t="str">
        <f>"7115000000"</f>
        <v>7115000000</v>
      </c>
      <c r="C520" s="18" t="str">
        <f>"Oil &amp; gas data mgmt svcs"</f>
        <v>Oil &amp; gas data mgmt svcs</v>
      </c>
      <c r="D520" s="18" t="s">
        <v>1895</v>
      </c>
    </row>
    <row r="521" spans="1:4">
      <c r="A521" s="18" t="s">
        <v>300</v>
      </c>
      <c r="B521" s="18" t="str">
        <f>"7115000080"</f>
        <v>7115000080</v>
      </c>
      <c r="C521" s="18" t="str">
        <f>"Oil &amp; gas data mgmt svcs - Haz"</f>
        <v>Oil &amp; gas data mgmt svcs - Haz</v>
      </c>
      <c r="D521" s="18" t="s">
        <v>1895</v>
      </c>
    </row>
    <row r="522" spans="1:4">
      <c r="A522" s="18" t="s">
        <v>300</v>
      </c>
      <c r="B522" s="18" t="str">
        <f>"7115000090"</f>
        <v>7115000090</v>
      </c>
      <c r="C522" s="18" t="str">
        <f>"Oil &amp; gas data mgmt svcs - Grn"</f>
        <v>Oil &amp; gas data mgmt svcs - Grn</v>
      </c>
      <c r="D522" s="18" t="s">
        <v>1895</v>
      </c>
    </row>
    <row r="523" spans="1:4">
      <c r="A523" s="18" t="s">
        <v>300</v>
      </c>
      <c r="B523" s="18" t="str">
        <f>"7116000000"</f>
        <v>7116000000</v>
      </c>
      <c r="C523" s="18" t="str">
        <f>"Oil &amp; gas well project mgmt"</f>
        <v>Oil &amp; gas well project mgmt</v>
      </c>
      <c r="D523" s="18" t="s">
        <v>1895</v>
      </c>
    </row>
    <row r="524" spans="1:4">
      <c r="A524" s="18" t="s">
        <v>300</v>
      </c>
      <c r="B524" s="18" t="str">
        <f>"7200000000"</f>
        <v>7200000000</v>
      </c>
      <c r="C524" s="18" t="str">
        <f>"7200000000"</f>
        <v>7200000000</v>
      </c>
      <c r="D524" s="18" t="s">
        <v>1895</v>
      </c>
    </row>
    <row r="525" spans="1:4">
      <c r="A525" s="18" t="s">
        <v>300</v>
      </c>
      <c r="B525" s="18" t="str">
        <f>"7210000000"</f>
        <v>7210000000</v>
      </c>
      <c r="C525" s="18" t="str">
        <f>"bldg mntnc &amp; repair svcs"</f>
        <v>bldg mntnc &amp; repair svcs</v>
      </c>
      <c r="D525" s="18" t="s">
        <v>1895</v>
      </c>
    </row>
    <row r="526" spans="1:4">
      <c r="A526" s="18" t="s">
        <v>300</v>
      </c>
      <c r="B526" s="18" t="str">
        <f>"7210150000"</f>
        <v>7210150000</v>
      </c>
      <c r="C526" s="18" t="str">
        <f>"Building Maintenance"</f>
        <v>Building Maintenance</v>
      </c>
      <c r="D526" s="18" t="s">
        <v>1895</v>
      </c>
    </row>
    <row r="527" spans="1:4">
      <c r="A527" s="18" t="s">
        <v>300</v>
      </c>
      <c r="B527" s="18" t="str">
        <f>"7210150600"</f>
        <v>7210150600</v>
      </c>
      <c r="C527" s="18" t="str">
        <f>"Elevator Maintenance"</f>
        <v>Elevator Maintenance</v>
      </c>
      <c r="D527" s="18" t="s">
        <v>1895</v>
      </c>
    </row>
    <row r="528" spans="1:4">
      <c r="A528" s="18" t="s">
        <v>300</v>
      </c>
      <c r="B528" s="18" t="str">
        <f>"7210150900"</f>
        <v>7210150900</v>
      </c>
      <c r="C528" s="18" t="str">
        <f>"Fire Protection Maintenance"</f>
        <v>Fire Protection Maintenance</v>
      </c>
      <c r="D528" s="18" t="s">
        <v>1895</v>
      </c>
    </row>
    <row r="529" spans="1:4">
      <c r="A529" s="18" t="s">
        <v>300</v>
      </c>
      <c r="B529" s="18" t="str">
        <f>"7210151100"</f>
        <v>7210151100</v>
      </c>
      <c r="C529" s="18" t="str">
        <f>"HVAC Maintenance"</f>
        <v>HVAC Maintenance</v>
      </c>
      <c r="D529" s="18" t="s">
        <v>1895</v>
      </c>
    </row>
    <row r="530" spans="1:4">
      <c r="A530" s="18" t="s">
        <v>300</v>
      </c>
      <c r="B530" s="18" t="str">
        <f>"7210210300"</f>
        <v>7210210300</v>
      </c>
      <c r="C530" s="18" t="str">
        <f>"Exterminating"</f>
        <v>Exterminating</v>
      </c>
      <c r="D530" s="18" t="s">
        <v>1895</v>
      </c>
    </row>
    <row r="531" spans="1:4">
      <c r="A531" s="18" t="s">
        <v>300</v>
      </c>
      <c r="B531" s="18" t="str">
        <f>"7210290000"</f>
        <v>7210290000</v>
      </c>
      <c r="C531" s="18" t="str">
        <f>"Facilities Maintenance/Repair"</f>
        <v>Facilities Maintenance/Repair</v>
      </c>
      <c r="D531" s="18" t="s">
        <v>1895</v>
      </c>
    </row>
    <row r="532" spans="1:4">
      <c r="A532" s="18" t="s">
        <v>300</v>
      </c>
      <c r="B532" s="18" t="str">
        <f>"7210330200"</f>
        <v>7210330200</v>
      </c>
      <c r="C532" s="18" t="str">
        <f>"Telecom Maintenance"</f>
        <v>Telecom Maintenance</v>
      </c>
      <c r="D532" s="18" t="s">
        <v>1895</v>
      </c>
    </row>
    <row r="533" spans="1:4">
      <c r="A533" s="18" t="s">
        <v>300</v>
      </c>
      <c r="B533" s="18" t="str">
        <f>"7213000000"</f>
        <v>7213000000</v>
      </c>
      <c r="C533" s="18" t="str">
        <f>"General bldg construction"</f>
        <v>General bldg construction</v>
      </c>
      <c r="D533" s="18" t="s">
        <v>1895</v>
      </c>
    </row>
    <row r="534" spans="1:4">
      <c r="A534" s="18" t="s">
        <v>300</v>
      </c>
      <c r="B534" s="18" t="str">
        <f>"7215406600"</f>
        <v>7215406600</v>
      </c>
      <c r="C534" s="18" t="str">
        <f>"Office Equipment Maintenance"</f>
        <v>Office Equipment Maintenance</v>
      </c>
      <c r="D534" s="18" t="s">
        <v>1895</v>
      </c>
    </row>
    <row r="535" spans="1:4">
      <c r="A535" s="18" t="s">
        <v>300</v>
      </c>
      <c r="B535" s="18" t="str">
        <f>"7300000000"</f>
        <v>7300000000</v>
      </c>
      <c r="C535" s="18" t="str">
        <f>"7300000000"</f>
        <v>7300000000</v>
      </c>
      <c r="D535" s="18" t="s">
        <v>1895</v>
      </c>
    </row>
    <row r="536" spans="1:4">
      <c r="A536" s="18" t="s">
        <v>300</v>
      </c>
      <c r="B536" s="18" t="str">
        <f>"7310000000"</f>
        <v>7310000000</v>
      </c>
      <c r="C536" s="18" t="str">
        <f>"Plastic &amp; chemical svcs"</f>
        <v>Plastic &amp; chemical svcs</v>
      </c>
      <c r="D536" s="18" t="s">
        <v>1895</v>
      </c>
    </row>
    <row r="537" spans="1:4">
      <c r="A537" s="18" t="s">
        <v>300</v>
      </c>
      <c r="B537" s="18" t="str">
        <f>"7310000080"</f>
        <v>7310000080</v>
      </c>
      <c r="C537" s="18" t="str">
        <f>"Plastic &amp; chemical svcs - Haz"</f>
        <v>Plastic &amp; chemical svcs - Haz</v>
      </c>
      <c r="D537" s="18" t="s">
        <v>1895</v>
      </c>
    </row>
    <row r="538" spans="1:4">
      <c r="A538" s="18" t="s">
        <v>300</v>
      </c>
      <c r="B538" s="18" t="str">
        <f>"7311000000"</f>
        <v>7311000000</v>
      </c>
      <c r="C538" s="18" t="str">
        <f>"Wood &amp; paper industries"</f>
        <v>Wood &amp; paper industries</v>
      </c>
      <c r="D538" s="18" t="s">
        <v>1895</v>
      </c>
    </row>
    <row r="539" spans="1:4">
      <c r="A539" s="18" t="s">
        <v>300</v>
      </c>
      <c r="B539" s="18" t="str">
        <f>"7312000000"</f>
        <v>7312000000</v>
      </c>
      <c r="C539" s="18" t="str">
        <f>"Metal &amp; mineral svcs"</f>
        <v>Metal &amp; mineral svcs</v>
      </c>
      <c r="D539" s="18" t="s">
        <v>1895</v>
      </c>
    </row>
    <row r="540" spans="1:4">
      <c r="A540" s="18" t="s">
        <v>300</v>
      </c>
      <c r="B540" s="18" t="str">
        <f>"7312000080"</f>
        <v>7312000080</v>
      </c>
      <c r="C540" s="18" t="str">
        <f>"Metal &amp; mineral svcs - Haz"</f>
        <v>Metal &amp; mineral svcs - Haz</v>
      </c>
      <c r="D540" s="18" t="s">
        <v>1895</v>
      </c>
    </row>
    <row r="541" spans="1:4">
      <c r="A541" s="18" t="s">
        <v>300</v>
      </c>
      <c r="B541" s="18" t="str">
        <f>"7313000000"</f>
        <v>7313000000</v>
      </c>
      <c r="C541" s="18" t="str">
        <f>"Food &amp; beverage industries"</f>
        <v>Food &amp; beverage industries</v>
      </c>
      <c r="D541" s="18" t="s">
        <v>1895</v>
      </c>
    </row>
    <row r="542" spans="1:4">
      <c r="A542" s="18" t="s">
        <v>300</v>
      </c>
      <c r="B542" s="18" t="str">
        <f>"7314000000"</f>
        <v>7314000000</v>
      </c>
      <c r="C542" s="18" t="str">
        <f>"Fabric &amp; textiles industries"</f>
        <v>Fabric &amp; textiles industries</v>
      </c>
      <c r="D542" s="18" t="s">
        <v>1895</v>
      </c>
    </row>
    <row r="543" spans="1:4">
      <c r="A543" s="18" t="s">
        <v>300</v>
      </c>
      <c r="B543" s="18" t="str">
        <f>"7315000000"</f>
        <v>7315000000</v>
      </c>
      <c r="C543" s="18" t="str">
        <f>"Printing svcs"</f>
        <v>Printing svcs</v>
      </c>
      <c r="D543" s="18" t="s">
        <v>1895</v>
      </c>
    </row>
    <row r="544" spans="1:4">
      <c r="A544" s="18" t="s">
        <v>300</v>
      </c>
      <c r="B544" s="18" t="str">
        <f>"7315000090"</f>
        <v>7315000090</v>
      </c>
      <c r="C544" s="18" t="str">
        <f>"Printing svcs - Grn"</f>
        <v>Printing svcs - Grn</v>
      </c>
      <c r="D544" s="18" t="s">
        <v>1895</v>
      </c>
    </row>
    <row r="545" spans="1:4">
      <c r="A545" s="18" t="s">
        <v>300</v>
      </c>
      <c r="B545" s="18" t="str">
        <f>"7316000000"</f>
        <v>7316000000</v>
      </c>
      <c r="C545" s="18" t="str">
        <f>"Machinary manufacture"</f>
        <v>Machinary manufacture</v>
      </c>
      <c r="D545" s="18" t="s">
        <v>1895</v>
      </c>
    </row>
    <row r="546" spans="1:4">
      <c r="A546" s="18" t="s">
        <v>300</v>
      </c>
      <c r="B546" s="18" t="str">
        <f>"7316000080"</f>
        <v>7316000080</v>
      </c>
      <c r="C546" s="18" t="str">
        <f>"Machinary manufacture - Haz"</f>
        <v>Machinary manufacture - Haz</v>
      </c>
      <c r="D546" s="18" t="s">
        <v>1895</v>
      </c>
    </row>
    <row r="547" spans="1:4">
      <c r="A547" s="18" t="s">
        <v>300</v>
      </c>
      <c r="B547" s="18" t="str">
        <f>"7317000000"</f>
        <v>7317000000</v>
      </c>
      <c r="C547" s="18" t="str">
        <f>"Precision instruments svcs"</f>
        <v>Precision instruments svcs</v>
      </c>
      <c r="D547" s="18" t="s">
        <v>1895</v>
      </c>
    </row>
    <row r="548" spans="1:4">
      <c r="A548" s="18" t="s">
        <v>300</v>
      </c>
      <c r="B548" s="18" t="str">
        <f>"7318000000"</f>
        <v>7318000000</v>
      </c>
      <c r="C548" s="18" t="str">
        <f>"Machining &amp; processing svcs"</f>
        <v>Machining &amp; processing svcs</v>
      </c>
      <c r="D548" s="18" t="s">
        <v>1895</v>
      </c>
    </row>
    <row r="549" spans="1:4">
      <c r="A549" s="18" t="s">
        <v>300</v>
      </c>
      <c r="B549" s="18" t="str">
        <f>"7600000000"</f>
        <v>7600000000</v>
      </c>
      <c r="C549" s="18" t="str">
        <f>"7600000000"</f>
        <v>7600000000</v>
      </c>
      <c r="D549" s="18" t="s">
        <v>1895</v>
      </c>
    </row>
    <row r="550" spans="1:4">
      <c r="A550" s="18" t="s">
        <v>300</v>
      </c>
      <c r="B550" s="18" t="str">
        <f>"7610000000"</f>
        <v>7610000000</v>
      </c>
      <c r="C550" s="18" t="str">
        <f>"Decontamination svcs"</f>
        <v>Decontamination svcs</v>
      </c>
      <c r="D550" s="18" t="s">
        <v>1895</v>
      </c>
    </row>
    <row r="551" spans="1:4">
      <c r="A551" s="18" t="s">
        <v>300</v>
      </c>
      <c r="B551" s="18" t="str">
        <f>"7610000080"</f>
        <v>7610000080</v>
      </c>
      <c r="C551" s="18" t="str">
        <f>"Decontamination svcs - Haz"</f>
        <v>Decontamination svcs - Haz</v>
      </c>
      <c r="D551" s="18" t="s">
        <v>1895</v>
      </c>
    </row>
    <row r="552" spans="1:4">
      <c r="A552" s="18" t="s">
        <v>300</v>
      </c>
      <c r="B552" s="18" t="str">
        <f>"7610000090"</f>
        <v>7610000090</v>
      </c>
      <c r="C552" s="18" t="str">
        <f>"Decontamination svcs - Grn"</f>
        <v>Decontamination svcs - Grn</v>
      </c>
      <c r="D552" s="18" t="s">
        <v>1895</v>
      </c>
    </row>
    <row r="553" spans="1:4">
      <c r="A553" s="18" t="s">
        <v>300</v>
      </c>
      <c r="B553" s="18" t="str">
        <f>"7611000000"</f>
        <v>7611000000</v>
      </c>
      <c r="C553" s="18" t="str">
        <f>"Clng &amp; janitorial svcs"</f>
        <v>Clng &amp; janitorial svcs</v>
      </c>
      <c r="D553" s="18" t="s">
        <v>1895</v>
      </c>
    </row>
    <row r="554" spans="1:4">
      <c r="A554" s="18" t="s">
        <v>300</v>
      </c>
      <c r="B554" s="18" t="str">
        <f>"7611000080"</f>
        <v>7611000080</v>
      </c>
      <c r="C554" s="18" t="str">
        <f>"Clng &amp; janitorial svcs - Haz"</f>
        <v>Clng &amp; janitorial svcs - Haz</v>
      </c>
      <c r="D554" s="18" t="s">
        <v>1895</v>
      </c>
    </row>
    <row r="555" spans="1:4">
      <c r="A555" s="18" t="s">
        <v>300</v>
      </c>
      <c r="B555" s="18" t="str">
        <f>"7611150100"</f>
        <v>7611150100</v>
      </c>
      <c r="C555" s="18" t="str">
        <f>"Cleaning Services"</f>
        <v>Cleaning Services</v>
      </c>
      <c r="D555" s="18" t="s">
        <v>1895</v>
      </c>
    </row>
    <row r="556" spans="1:4">
      <c r="A556" s="18" t="s">
        <v>300</v>
      </c>
      <c r="B556" s="18" t="str">
        <f>"7612000000"</f>
        <v>7612000000</v>
      </c>
      <c r="C556" s="18" t="str">
        <f>"Waste disposl &amp; treatmnt"</f>
        <v>Waste disposl &amp; treatmnt</v>
      </c>
      <c r="D556" s="18" t="s">
        <v>1895</v>
      </c>
    </row>
    <row r="557" spans="1:4">
      <c r="A557" s="18" t="s">
        <v>300</v>
      </c>
      <c r="B557" s="18" t="str">
        <f>"7612000080"</f>
        <v>7612000080</v>
      </c>
      <c r="C557" s="18" t="str">
        <f>"Waste disposl &amp; treatmnt - Haz"</f>
        <v>Waste disposl &amp; treatmnt - Haz</v>
      </c>
      <c r="D557" s="18" t="s">
        <v>1895</v>
      </c>
    </row>
    <row r="558" spans="1:4">
      <c r="A558" s="18" t="s">
        <v>300</v>
      </c>
      <c r="B558" s="18" t="str">
        <f>"7613000000"</f>
        <v>7613000000</v>
      </c>
      <c r="C558" s="18" t="str">
        <f>"7613000000"</f>
        <v>7613000000</v>
      </c>
      <c r="D558" s="18" t="s">
        <v>1895</v>
      </c>
    </row>
    <row r="559" spans="1:4">
      <c r="A559" s="18" t="s">
        <v>300</v>
      </c>
      <c r="B559" s="18" t="str">
        <f>"7613000080"</f>
        <v>7613000080</v>
      </c>
      <c r="C559" s="18" t="str">
        <f>"Toxic waste cleanup - Haz"</f>
        <v>Toxic waste cleanup - Haz</v>
      </c>
      <c r="D559" s="18" t="s">
        <v>1895</v>
      </c>
    </row>
    <row r="560" spans="1:4">
      <c r="A560" s="18" t="s">
        <v>300</v>
      </c>
      <c r="B560" s="18" t="str">
        <f>"7700000000"</f>
        <v>7700000000</v>
      </c>
      <c r="C560" s="18" t="str">
        <f>"7700000000"</f>
        <v>7700000000</v>
      </c>
      <c r="D560" s="18" t="s">
        <v>1895</v>
      </c>
    </row>
    <row r="561" spans="1:4">
      <c r="A561" s="18" t="s">
        <v>300</v>
      </c>
      <c r="B561" s="18" t="str">
        <f>"7710000000"</f>
        <v>7710000000</v>
      </c>
      <c r="C561" s="18" t="str">
        <f>"Environmental mgmt"</f>
        <v>Environmental mgmt</v>
      </c>
      <c r="D561" s="18" t="s">
        <v>1895</v>
      </c>
    </row>
    <row r="562" spans="1:4">
      <c r="A562" s="18" t="s">
        <v>300</v>
      </c>
      <c r="B562" s="18" t="str">
        <f>"7710000080"</f>
        <v>7710000080</v>
      </c>
      <c r="C562" s="18" t="str">
        <f>"Environmental mgmt - Haz"</f>
        <v>Environmental mgmt - Haz</v>
      </c>
      <c r="D562" s="18" t="s">
        <v>1895</v>
      </c>
    </row>
    <row r="563" spans="1:4">
      <c r="A563" s="18" t="s">
        <v>300</v>
      </c>
      <c r="B563" s="18" t="str">
        <f>"7710000090"</f>
        <v>7710000090</v>
      </c>
      <c r="C563" s="18" t="str">
        <f>"Environmental mgmt - Grn"</f>
        <v>Environmental mgmt - Grn</v>
      </c>
      <c r="D563" s="18" t="s">
        <v>1895</v>
      </c>
    </row>
    <row r="564" spans="1:4">
      <c r="A564" s="18" t="s">
        <v>300</v>
      </c>
      <c r="B564" s="18" t="str">
        <f>"7711000000"</f>
        <v>7711000000</v>
      </c>
      <c r="C564" s="18" t="str">
        <f>"Environmental protection"</f>
        <v>Environmental protection</v>
      </c>
      <c r="D564" s="18" t="s">
        <v>1895</v>
      </c>
    </row>
    <row r="565" spans="1:4">
      <c r="A565" s="18" t="s">
        <v>300</v>
      </c>
      <c r="B565" s="18" t="str">
        <f>"7711000080"</f>
        <v>7711000080</v>
      </c>
      <c r="C565" s="18" t="str">
        <f>"Environmental protection - Haz"</f>
        <v>Environmental protection - Haz</v>
      </c>
      <c r="D565" s="18" t="s">
        <v>1895</v>
      </c>
    </row>
    <row r="566" spans="1:4">
      <c r="A566" s="18" t="s">
        <v>300</v>
      </c>
      <c r="B566" s="18" t="str">
        <f>"7711000090"</f>
        <v>7711000090</v>
      </c>
      <c r="C566" s="18" t="str">
        <f>"Environmental protection - Grn"</f>
        <v>Environmental protection - Grn</v>
      </c>
      <c r="D566" s="18" t="s">
        <v>1895</v>
      </c>
    </row>
    <row r="567" spans="1:4">
      <c r="A567" s="18" t="s">
        <v>300</v>
      </c>
      <c r="B567" s="18" t="str">
        <f>"7712000000"</f>
        <v>7712000000</v>
      </c>
      <c r="C567" s="18" t="str">
        <f>"Pollution monitoring"</f>
        <v>Pollution monitoring</v>
      </c>
      <c r="D567" s="18" t="s">
        <v>1895</v>
      </c>
    </row>
    <row r="568" spans="1:4">
      <c r="A568" s="18" t="s">
        <v>300</v>
      </c>
      <c r="B568" s="18" t="str">
        <f>"7712000080"</f>
        <v>7712000080</v>
      </c>
      <c r="C568" s="18" t="str">
        <f>"Pollution monitoring - Haz"</f>
        <v>Pollution monitoring - Haz</v>
      </c>
      <c r="D568" s="18" t="s">
        <v>1895</v>
      </c>
    </row>
    <row r="569" spans="1:4">
      <c r="A569" s="18" t="s">
        <v>300</v>
      </c>
      <c r="B569" s="18" t="str">
        <f>"7712000090"</f>
        <v>7712000090</v>
      </c>
      <c r="C569" s="18" t="str">
        <f>"Pollution monitoring - Grn"</f>
        <v>Pollution monitoring - Grn</v>
      </c>
      <c r="D569" s="18" t="s">
        <v>1895</v>
      </c>
    </row>
    <row r="570" spans="1:4">
      <c r="A570" s="18" t="s">
        <v>300</v>
      </c>
      <c r="B570" s="18" t="str">
        <f>"7713000000"</f>
        <v>7713000000</v>
      </c>
      <c r="C570" s="18" t="str">
        <f>"Pollutant rehabilitation"</f>
        <v>Pollutant rehabilitation</v>
      </c>
      <c r="D570" s="18" t="s">
        <v>1895</v>
      </c>
    </row>
    <row r="571" spans="1:4">
      <c r="A571" s="18" t="s">
        <v>300</v>
      </c>
      <c r="B571" s="18" t="str">
        <f>"7713000080"</f>
        <v>7713000080</v>
      </c>
      <c r="C571" s="18" t="str">
        <f>"Pollutant rehabilitation - Haz"</f>
        <v>Pollutant rehabilitation - Haz</v>
      </c>
      <c r="D571" s="18" t="s">
        <v>1895</v>
      </c>
    </row>
    <row r="572" spans="1:4">
      <c r="A572" s="18" t="s">
        <v>300</v>
      </c>
      <c r="B572" s="18" t="str">
        <f>"7713000090"</f>
        <v>7713000090</v>
      </c>
      <c r="C572" s="18" t="str">
        <f>"Pollutant rehabilitation - Grn"</f>
        <v>Pollutant rehabilitation - Grn</v>
      </c>
      <c r="D572" s="18" t="s">
        <v>1895</v>
      </c>
    </row>
    <row r="573" spans="1:4">
      <c r="A573" s="18" t="s">
        <v>300</v>
      </c>
      <c r="B573" s="18" t="str">
        <f>"7800000000"</f>
        <v>7800000000</v>
      </c>
      <c r="C573" s="18" t="str">
        <f>"7800000000"</f>
        <v>7800000000</v>
      </c>
      <c r="D573" s="18" t="s">
        <v>1895</v>
      </c>
    </row>
    <row r="574" spans="1:4">
      <c r="A574" s="18" t="s">
        <v>300</v>
      </c>
      <c r="B574" s="18" t="str">
        <f>"7810000000"</f>
        <v>7810000000</v>
      </c>
      <c r="C574" s="18" t="str">
        <f>"Mail &amp; cargo transport"</f>
        <v>Mail &amp; cargo transport</v>
      </c>
      <c r="D574" s="18" t="s">
        <v>1895</v>
      </c>
    </row>
    <row r="575" spans="1:4">
      <c r="A575" s="18" t="s">
        <v>300</v>
      </c>
      <c r="B575" s="18" t="str">
        <f>"7811000000"</f>
        <v>7811000000</v>
      </c>
      <c r="C575" s="18" t="str">
        <f>"Passenger transport"</f>
        <v>Passenger transport</v>
      </c>
      <c r="D575" s="18" t="s">
        <v>1895</v>
      </c>
    </row>
    <row r="576" spans="1:4">
      <c r="A576" s="18" t="s">
        <v>300</v>
      </c>
      <c r="B576" s="18" t="str">
        <f>"7812000000"</f>
        <v>7812000000</v>
      </c>
      <c r="C576" s="18" t="str">
        <f>"Material packing &amp; h&amp;ling"</f>
        <v>Material packing &amp; h&amp;ling</v>
      </c>
      <c r="D576" s="18" t="s">
        <v>1895</v>
      </c>
    </row>
    <row r="577" spans="1:4">
      <c r="A577" s="18" t="s">
        <v>300</v>
      </c>
      <c r="B577" s="18" t="str">
        <f>"7813000000"</f>
        <v>7813000000</v>
      </c>
      <c r="C577" s="18" t="str">
        <f>"Storage"</f>
        <v>Storage</v>
      </c>
      <c r="D577" s="18" t="s">
        <v>1895</v>
      </c>
    </row>
    <row r="578" spans="1:4">
      <c r="A578" s="18" t="s">
        <v>300</v>
      </c>
      <c r="B578" s="18" t="str">
        <f>"7814000000"</f>
        <v>7814000000</v>
      </c>
      <c r="C578" s="18" t="str">
        <f>"Transport operations"</f>
        <v>Transport operations</v>
      </c>
      <c r="D578" s="18" t="s">
        <v>1895</v>
      </c>
    </row>
    <row r="579" spans="1:4">
      <c r="A579" s="18" t="s">
        <v>300</v>
      </c>
      <c r="B579" s="18" t="str">
        <f>"7818000000"</f>
        <v>7818000000</v>
      </c>
      <c r="C579" s="18" t="str">
        <f>"Trnsprtn repair or mntnc svcs"</f>
        <v>Trnsprtn repair or mntnc svcs</v>
      </c>
      <c r="D579" s="18" t="s">
        <v>1895</v>
      </c>
    </row>
    <row r="580" spans="1:4">
      <c r="A580" s="18" t="s">
        <v>300</v>
      </c>
      <c r="B580" s="18" t="str">
        <f>"80000000"</f>
        <v>80000000</v>
      </c>
      <c r="C580" s="18" t="str">
        <f>"80000000"</f>
        <v>80000000</v>
      </c>
      <c r="D580" s="18" t="s">
        <v>1895</v>
      </c>
    </row>
    <row r="581" spans="1:4">
      <c r="A581" s="18" t="s">
        <v>300</v>
      </c>
      <c r="B581" s="18" t="str">
        <f>"8000000000"</f>
        <v>8000000000</v>
      </c>
      <c r="C581" s="18" t="str">
        <f>"8000000000"</f>
        <v>8000000000</v>
      </c>
      <c r="D581" s="18" t="s">
        <v>1895</v>
      </c>
    </row>
    <row r="582" spans="1:4">
      <c r="A582" s="18" t="s">
        <v>300</v>
      </c>
      <c r="B582" s="18" t="str">
        <f>"8010000000"</f>
        <v>8010000000</v>
      </c>
      <c r="C582" s="18" t="str">
        <f>"Mgmt advisory svcs"</f>
        <v>Mgmt advisory svcs</v>
      </c>
      <c r="D582" s="18" t="s">
        <v>1895</v>
      </c>
    </row>
    <row r="583" spans="1:4">
      <c r="A583" s="18" t="s">
        <v>300</v>
      </c>
      <c r="B583" s="18" t="str">
        <f>"8011000000"</f>
        <v>8011000000</v>
      </c>
      <c r="C583" s="18" t="str">
        <f>"Human resources svcs"</f>
        <v>Human resources svcs</v>
      </c>
      <c r="D583" s="18" t="s">
        <v>1895</v>
      </c>
    </row>
    <row r="584" spans="1:4">
      <c r="A584" s="18" t="s">
        <v>300</v>
      </c>
      <c r="B584" s="18" t="str">
        <f>"8011160100"</f>
        <v>8011160100</v>
      </c>
      <c r="C584" s="18" t="str">
        <f>"Temp Clerical/ Admin Services"</f>
        <v>Temp Clerical/ Admin Services</v>
      </c>
      <c r="D584" s="18" t="s">
        <v>1895</v>
      </c>
    </row>
    <row r="585" spans="1:4">
      <c r="A585" s="18" t="s">
        <v>300</v>
      </c>
      <c r="B585" s="18" t="str">
        <f>"80120000"</f>
        <v>80120000</v>
      </c>
      <c r="C585" s="18" t="str">
        <f>"Legal Services"</f>
        <v>Legal Services</v>
      </c>
      <c r="D585" s="18" t="s">
        <v>1895</v>
      </c>
    </row>
    <row r="586" spans="1:4">
      <c r="A586" s="18" t="s">
        <v>300</v>
      </c>
      <c r="B586" s="18" t="str">
        <f>"8012000000"</f>
        <v>8012000000</v>
      </c>
      <c r="C586" s="18" t="str">
        <f>"Legal svcs"</f>
        <v>Legal svcs</v>
      </c>
      <c r="D586" s="18" t="s">
        <v>1895</v>
      </c>
    </row>
    <row r="587" spans="1:4">
      <c r="A587" s="18" t="s">
        <v>300</v>
      </c>
      <c r="B587" s="18" t="str">
        <f>"8013000000"</f>
        <v>8013000000</v>
      </c>
      <c r="C587" s="18" t="str">
        <f>"Real estate svcs"</f>
        <v>Real estate svcs</v>
      </c>
      <c r="D587" s="18" t="s">
        <v>1895</v>
      </c>
    </row>
    <row r="588" spans="1:4">
      <c r="A588" s="18" t="s">
        <v>300</v>
      </c>
      <c r="B588" s="18" t="str">
        <f>"8014000000"</f>
        <v>8014000000</v>
      </c>
      <c r="C588" s="18" t="str">
        <f>"Marketing &amp; distribution"</f>
        <v>Marketing &amp; distribution</v>
      </c>
      <c r="D588" s="18" t="s">
        <v>1895</v>
      </c>
    </row>
    <row r="589" spans="1:4">
      <c r="A589" s="18" t="s">
        <v>300</v>
      </c>
      <c r="B589" s="18" t="str">
        <f>"8015000000"</f>
        <v>8015000000</v>
      </c>
      <c r="C589" s="18" t="str">
        <f>"Trade policy &amp; svcs"</f>
        <v>Trade policy &amp; svcs</v>
      </c>
      <c r="D589" s="18" t="s">
        <v>1895</v>
      </c>
    </row>
    <row r="590" spans="1:4">
      <c r="A590" s="18" t="s">
        <v>300</v>
      </c>
      <c r="B590" s="18" t="str">
        <f>"8016000000"</f>
        <v>8016000000</v>
      </c>
      <c r="C590" s="18" t="str">
        <f>"Business admin svcs"</f>
        <v>Business admin svcs</v>
      </c>
      <c r="D590" s="18" t="s">
        <v>1895</v>
      </c>
    </row>
    <row r="591" spans="1:4">
      <c r="A591" s="18" t="s">
        <v>300</v>
      </c>
      <c r="B591" s="18" t="str">
        <f>"8100000000"</f>
        <v>8100000000</v>
      </c>
      <c r="C591" s="18" t="str">
        <f>"8100000000"</f>
        <v>8100000000</v>
      </c>
      <c r="D591" s="18" t="s">
        <v>1895</v>
      </c>
    </row>
    <row r="592" spans="1:4">
      <c r="A592" s="18" t="s">
        <v>300</v>
      </c>
      <c r="B592" s="18" t="str">
        <f>"8110000000"</f>
        <v>8110000000</v>
      </c>
      <c r="C592" s="18" t="str">
        <f>"Professional engineering svcs"</f>
        <v>Professional engineering svcs</v>
      </c>
      <c r="D592" s="18" t="s">
        <v>1895</v>
      </c>
    </row>
    <row r="593" spans="1:4">
      <c r="A593" s="18" t="s">
        <v>300</v>
      </c>
      <c r="B593" s="18" t="str">
        <f>"8111000000"</f>
        <v>8111000000</v>
      </c>
      <c r="C593" s="18" t="str">
        <f>"Computer svcs"</f>
        <v>Computer svcs</v>
      </c>
      <c r="D593" s="18" t="s">
        <v>1895</v>
      </c>
    </row>
    <row r="594" spans="1:4">
      <c r="A594" s="18" t="s">
        <v>300</v>
      </c>
      <c r="B594" s="18" t="str">
        <f>"8111180500"</f>
        <v>8111180500</v>
      </c>
      <c r="C594" s="18" t="str">
        <f>"Software License &amp; Support"</f>
        <v>Software License &amp; Support</v>
      </c>
      <c r="D594" s="18" t="s">
        <v>1895</v>
      </c>
    </row>
    <row r="595" spans="1:4">
      <c r="A595" s="18" t="s">
        <v>300</v>
      </c>
      <c r="B595" s="18" t="str">
        <f>"8112000000"</f>
        <v>8112000000</v>
      </c>
      <c r="C595" s="18" t="str">
        <f>"Economics"</f>
        <v>Economics</v>
      </c>
      <c r="D595" s="18" t="s">
        <v>1895</v>
      </c>
    </row>
    <row r="596" spans="1:4">
      <c r="A596" s="18" t="s">
        <v>300</v>
      </c>
      <c r="B596" s="18" t="str">
        <f>"8113000000"</f>
        <v>8113000000</v>
      </c>
      <c r="C596" s="18" t="str">
        <f>"Statistics"</f>
        <v>Statistics</v>
      </c>
      <c r="D596" s="18" t="s">
        <v>1895</v>
      </c>
    </row>
    <row r="597" spans="1:4">
      <c r="A597" s="18" t="s">
        <v>300</v>
      </c>
      <c r="B597" s="18" t="str">
        <f>"8114000000"</f>
        <v>8114000000</v>
      </c>
      <c r="C597" s="18" t="str">
        <f>"Mfg technologies"</f>
        <v>Mfg technologies</v>
      </c>
      <c r="D597" s="18" t="s">
        <v>1895</v>
      </c>
    </row>
    <row r="598" spans="1:4">
      <c r="A598" s="18" t="s">
        <v>300</v>
      </c>
      <c r="B598" s="18" t="str">
        <f>"8115000000"</f>
        <v>8115000000</v>
      </c>
      <c r="C598" s="18" t="str">
        <f>"Earth science svcs"</f>
        <v>Earth science svcs</v>
      </c>
      <c r="D598" s="18" t="s">
        <v>1895</v>
      </c>
    </row>
    <row r="599" spans="1:4">
      <c r="A599" s="18" t="s">
        <v>300</v>
      </c>
      <c r="B599" s="18" t="str">
        <f>"8116000000"</f>
        <v>8116000000</v>
      </c>
      <c r="C599" s="18" t="str">
        <f>"IT Service Delivery"</f>
        <v>IT Service Delivery</v>
      </c>
      <c r="D599" s="18" t="s">
        <v>1895</v>
      </c>
    </row>
    <row r="600" spans="1:4">
      <c r="A600" s="18" t="s">
        <v>300</v>
      </c>
      <c r="B600" s="18" t="str">
        <f>"8200000000"</f>
        <v>8200000000</v>
      </c>
      <c r="C600" s="18" t="str">
        <f>"8200000000"</f>
        <v>8200000000</v>
      </c>
      <c r="D600" s="18" t="s">
        <v>1895</v>
      </c>
    </row>
    <row r="601" spans="1:4">
      <c r="A601" s="18" t="s">
        <v>300</v>
      </c>
      <c r="B601" s="18" t="str">
        <f>"8210000000"</f>
        <v>8210000000</v>
      </c>
      <c r="C601" s="18" t="str">
        <f>"Advertising"</f>
        <v>Advertising</v>
      </c>
      <c r="D601" s="18" t="s">
        <v>1895</v>
      </c>
    </row>
    <row r="602" spans="1:4">
      <c r="A602" s="18" t="s">
        <v>300</v>
      </c>
      <c r="B602" s="18" t="str">
        <f>"8211000000"</f>
        <v>8211000000</v>
      </c>
      <c r="C602" s="18" t="str">
        <f>"Writing &amp; translations"</f>
        <v>Writing &amp; translations</v>
      </c>
      <c r="D602" s="18" t="s">
        <v>1895</v>
      </c>
    </row>
    <row r="603" spans="1:4">
      <c r="A603" s="18" t="s">
        <v>300</v>
      </c>
      <c r="B603" s="18" t="str">
        <f>"8212000000"</f>
        <v>8212000000</v>
      </c>
      <c r="C603" s="18" t="str">
        <f>"Reprodn svcs"</f>
        <v>Reprodn svcs</v>
      </c>
      <c r="D603" s="18" t="s">
        <v>1895</v>
      </c>
    </row>
    <row r="604" spans="1:4">
      <c r="A604" s="18" t="s">
        <v>300</v>
      </c>
      <c r="B604" s="18" t="str">
        <f>"8213000000"</f>
        <v>8213000000</v>
      </c>
      <c r="C604" s="18" t="str">
        <f>"Photographic svcs"</f>
        <v>Photographic svcs</v>
      </c>
      <c r="D604" s="18" t="s">
        <v>1895</v>
      </c>
    </row>
    <row r="605" spans="1:4">
      <c r="A605" s="18" t="s">
        <v>300</v>
      </c>
      <c r="B605" s="18" t="str">
        <f>"8214000000"</f>
        <v>8214000000</v>
      </c>
      <c r="C605" s="18" t="str">
        <f>"Graphic design"</f>
        <v>Graphic design</v>
      </c>
      <c r="D605" s="18" t="s">
        <v>1895</v>
      </c>
    </row>
    <row r="606" spans="1:4">
      <c r="A606" s="18" t="s">
        <v>300</v>
      </c>
      <c r="B606" s="18" t="str">
        <f>"8215000000"</f>
        <v>8215000000</v>
      </c>
      <c r="C606" s="18" t="str">
        <f>"Professional performers"</f>
        <v>Professional performers</v>
      </c>
      <c r="D606" s="18" t="s">
        <v>1895</v>
      </c>
    </row>
    <row r="607" spans="1:4">
      <c r="A607" s="18" t="s">
        <v>300</v>
      </c>
      <c r="B607" s="18" t="str">
        <f>"8300000000"</f>
        <v>8300000000</v>
      </c>
      <c r="C607" s="18" t="str">
        <f>"8300000000"</f>
        <v>8300000000</v>
      </c>
      <c r="D607" s="18" t="s">
        <v>1895</v>
      </c>
    </row>
    <row r="608" spans="1:4">
      <c r="A608" s="18" t="s">
        <v>300</v>
      </c>
      <c r="B608" s="18" t="str">
        <f>"8310000000"</f>
        <v>8310000000</v>
      </c>
      <c r="C608" s="18" t="str">
        <f>"Water &amp; Sewer (Utilities)"</f>
        <v>Water &amp; Sewer (Utilities)</v>
      </c>
      <c r="D608" s="18" t="s">
        <v>1895</v>
      </c>
    </row>
    <row r="609" spans="1:4" ht="27">
      <c r="A609" s="18" t="s">
        <v>300</v>
      </c>
      <c r="B609" s="18" t="str">
        <f>"8311000000"</f>
        <v>8311000000</v>
      </c>
      <c r="C609" s="18" t="str">
        <f>"Telecommunications media svcs"</f>
        <v>Telecommunications media svcs</v>
      </c>
      <c r="D609" s="18" t="s">
        <v>1895</v>
      </c>
    </row>
    <row r="610" spans="1:4">
      <c r="A610" s="18" t="s">
        <v>300</v>
      </c>
      <c r="B610" s="18" t="str">
        <f>"8312000000"</f>
        <v>8312000000</v>
      </c>
      <c r="C610" s="18" t="str">
        <f>"Information svcs"</f>
        <v>Information svcs</v>
      </c>
      <c r="D610" s="18" t="s">
        <v>1895</v>
      </c>
    </row>
    <row r="611" spans="1:4">
      <c r="A611" s="18" t="s">
        <v>300</v>
      </c>
      <c r="B611" s="18" t="str">
        <f>"8400000000"</f>
        <v>8400000000</v>
      </c>
      <c r="C611" s="18" t="str">
        <f>"8400000000"</f>
        <v>8400000000</v>
      </c>
      <c r="D611" s="18" t="s">
        <v>1895</v>
      </c>
    </row>
    <row r="612" spans="1:4">
      <c r="A612" s="18" t="s">
        <v>300</v>
      </c>
      <c r="B612" s="18" t="str">
        <f>"8410000000"</f>
        <v>8410000000</v>
      </c>
      <c r="C612" s="18" t="str">
        <f>"Devlpmt finance"</f>
        <v>Devlpmt finance</v>
      </c>
      <c r="D612" s="18" t="s">
        <v>1895</v>
      </c>
    </row>
    <row r="613" spans="1:4">
      <c r="A613" s="18" t="s">
        <v>300</v>
      </c>
      <c r="B613" s="18" t="str">
        <f>"8411000000"</f>
        <v>8411000000</v>
      </c>
      <c r="C613" s="18" t="str">
        <f>"Accounting &amp; auditing"</f>
        <v>Accounting &amp; auditing</v>
      </c>
      <c r="D613" s="18" t="s">
        <v>1895</v>
      </c>
    </row>
    <row r="614" spans="1:4">
      <c r="A614" s="18" t="s">
        <v>300</v>
      </c>
      <c r="B614" s="18" t="str">
        <f>"8412000000"</f>
        <v>8412000000</v>
      </c>
      <c r="C614" s="18" t="str">
        <f>"Banking &amp; investment"</f>
        <v>Banking &amp; investment</v>
      </c>
      <c r="D614" s="18" t="s">
        <v>1895</v>
      </c>
    </row>
    <row r="615" spans="1:4">
      <c r="A615" s="18" t="s">
        <v>300</v>
      </c>
      <c r="B615" s="18" t="str">
        <f>"8413000000"</f>
        <v>8413000000</v>
      </c>
      <c r="C615" s="18" t="str">
        <f>"Insurance &amp; retirement svcs"</f>
        <v>Insurance &amp; retirement svcs</v>
      </c>
      <c r="D615" s="18" t="s">
        <v>1895</v>
      </c>
    </row>
    <row r="616" spans="1:4">
      <c r="A616" s="18" t="s">
        <v>300</v>
      </c>
      <c r="B616" s="18" t="str">
        <f>"8414000000"</f>
        <v>8414000000</v>
      </c>
      <c r="C616" s="18" t="str">
        <f>"Credit agencies"</f>
        <v>Credit agencies</v>
      </c>
      <c r="D616" s="18" t="s">
        <v>1895</v>
      </c>
    </row>
    <row r="617" spans="1:4">
      <c r="A617" s="18" t="s">
        <v>300</v>
      </c>
      <c r="B617" s="18" t="str">
        <f>"8500000000"</f>
        <v>8500000000</v>
      </c>
      <c r="C617" s="18" t="str">
        <f>"8500000000"</f>
        <v>8500000000</v>
      </c>
      <c r="D617" s="18" t="s">
        <v>1895</v>
      </c>
    </row>
    <row r="618" spans="1:4">
      <c r="A618" s="18" t="s">
        <v>300</v>
      </c>
      <c r="B618" s="18" t="str">
        <f>"8510000000"</f>
        <v>8510000000</v>
      </c>
      <c r="C618" s="18" t="str">
        <f>"Comprehensive health svcs"</f>
        <v>Comprehensive health svcs</v>
      </c>
      <c r="D618" s="18" t="s">
        <v>1895</v>
      </c>
    </row>
    <row r="619" spans="1:4">
      <c r="A619" s="18" t="s">
        <v>300</v>
      </c>
      <c r="B619" s="18" t="str">
        <f>"8511000000"</f>
        <v>8511000000</v>
      </c>
      <c r="C619" s="18" t="str">
        <f>"Disease prevention &amp; ctrl"</f>
        <v>Disease prevention &amp; ctrl</v>
      </c>
      <c r="D619" s="18" t="s">
        <v>1895</v>
      </c>
    </row>
    <row r="620" spans="1:4">
      <c r="A620" s="18" t="s">
        <v>300</v>
      </c>
      <c r="B620" s="18" t="str">
        <f>"8512000000"</f>
        <v>8512000000</v>
      </c>
      <c r="C620" s="18" t="str">
        <f>"Med practice"</f>
        <v>Med practice</v>
      </c>
      <c r="D620" s="18" t="s">
        <v>1895</v>
      </c>
    </row>
    <row r="621" spans="1:4">
      <c r="A621" s="18" t="s">
        <v>300</v>
      </c>
      <c r="B621" s="18" t="str">
        <f>"8513000000"</f>
        <v>8513000000</v>
      </c>
      <c r="C621" s="18" t="str">
        <f>"Med research"</f>
        <v>Med research</v>
      </c>
      <c r="D621" s="18" t="s">
        <v>1895</v>
      </c>
    </row>
    <row r="622" spans="1:4">
      <c r="A622" s="18" t="s">
        <v>300</v>
      </c>
      <c r="B622" s="18" t="str">
        <f>"8514000000"</f>
        <v>8514000000</v>
      </c>
      <c r="C622" s="18" t="str">
        <f>"Holistic medicine"</f>
        <v>Holistic medicine</v>
      </c>
      <c r="D622" s="18" t="s">
        <v>1895</v>
      </c>
    </row>
    <row r="623" spans="1:4">
      <c r="A623" s="18" t="s">
        <v>300</v>
      </c>
      <c r="B623" s="18" t="str">
        <f>"8515000000"</f>
        <v>8515000000</v>
      </c>
      <c r="C623" s="18" t="str">
        <f>"Food &amp; nutrition svcs"</f>
        <v>Food &amp; nutrition svcs</v>
      </c>
      <c r="D623" s="18" t="s">
        <v>1895</v>
      </c>
    </row>
    <row r="624" spans="1:4">
      <c r="A624" s="18" t="s">
        <v>300</v>
      </c>
      <c r="B624" s="18" t="str">
        <f>"8516000000"</f>
        <v>8516000000</v>
      </c>
      <c r="C624" s="18" t="str">
        <f>"Surgical equip Repair svcs"</f>
        <v>Surgical equip Repair svcs</v>
      </c>
      <c r="D624" s="18" t="s">
        <v>1895</v>
      </c>
    </row>
    <row r="625" spans="1:4">
      <c r="A625" s="18" t="s">
        <v>300</v>
      </c>
      <c r="B625" s="18" t="str">
        <f>"8600000000"</f>
        <v>8600000000</v>
      </c>
      <c r="C625" s="18" t="str">
        <f>"8600000000"</f>
        <v>8600000000</v>
      </c>
      <c r="D625" s="18" t="s">
        <v>1895</v>
      </c>
    </row>
    <row r="626" spans="1:4">
      <c r="A626" s="18" t="s">
        <v>300</v>
      </c>
      <c r="B626" s="18" t="str">
        <f>"8610000000"</f>
        <v>8610000000</v>
      </c>
      <c r="C626" s="18" t="str">
        <f>"Vocational training"</f>
        <v>Vocational training</v>
      </c>
      <c r="D626" s="18" t="s">
        <v>1895</v>
      </c>
    </row>
    <row r="627" spans="1:4">
      <c r="A627" s="18" t="s">
        <v>300</v>
      </c>
      <c r="B627" s="18" t="str">
        <f>"8611000000"</f>
        <v>8611000000</v>
      </c>
      <c r="C627" s="18" t="str">
        <f>"Alternative educational syst"</f>
        <v>Alternative educational syst</v>
      </c>
      <c r="D627" s="18" t="s">
        <v>1895</v>
      </c>
    </row>
    <row r="628" spans="1:4">
      <c r="A628" s="18" t="s">
        <v>300</v>
      </c>
      <c r="B628" s="18" t="str">
        <f>"8612000000"</f>
        <v>8612000000</v>
      </c>
      <c r="C628" s="18" t="str">
        <f>"Educational institutions"</f>
        <v>Educational institutions</v>
      </c>
      <c r="D628" s="18" t="s">
        <v>1895</v>
      </c>
    </row>
    <row r="629" spans="1:4">
      <c r="A629" s="18" t="s">
        <v>300</v>
      </c>
      <c r="B629" s="18" t="str">
        <f>"8613000000"</f>
        <v>8613000000</v>
      </c>
      <c r="C629" s="18" t="str">
        <f>"Specialized educational svcs"</f>
        <v>Specialized educational svcs</v>
      </c>
      <c r="D629" s="18" t="s">
        <v>1895</v>
      </c>
    </row>
    <row r="630" spans="1:4">
      <c r="A630" s="18" t="s">
        <v>300</v>
      </c>
      <c r="B630" s="18" t="str">
        <f>"8614000000"</f>
        <v>8614000000</v>
      </c>
      <c r="C630" s="18" t="str">
        <f>"Educational facilities"</f>
        <v>Educational facilities</v>
      </c>
      <c r="D630" s="18" t="s">
        <v>1895</v>
      </c>
    </row>
    <row r="631" spans="1:4">
      <c r="A631" s="18" t="s">
        <v>300</v>
      </c>
      <c r="B631" s="18" t="str">
        <f>"8800000000"</f>
        <v>8800000000</v>
      </c>
      <c r="C631" s="18" t="str">
        <f>"8800000000"</f>
        <v>8800000000</v>
      </c>
      <c r="D631" s="18" t="s">
        <v>1895</v>
      </c>
    </row>
    <row r="632" spans="1:4">
      <c r="A632" s="18" t="s">
        <v>300</v>
      </c>
      <c r="B632" s="18" t="str">
        <f>"8888000000"</f>
        <v>8888000000</v>
      </c>
      <c r="C632" s="18" t="str">
        <f>"8888000000"</f>
        <v>8888000000</v>
      </c>
      <c r="D632" s="18" t="s">
        <v>1895</v>
      </c>
    </row>
    <row r="633" spans="1:4">
      <c r="A633" s="18" t="s">
        <v>300</v>
      </c>
      <c r="B633" s="18" t="str">
        <f>"8888000100"</f>
        <v>8888000100</v>
      </c>
      <c r="C633" s="18" t="str">
        <f>"TRAVEL CARD Out of town Airfar"</f>
        <v>TRAVEL CARD Out of town Airfar</v>
      </c>
      <c r="D633" s="18" t="s">
        <v>1895</v>
      </c>
    </row>
    <row r="634" spans="1:4" ht="27">
      <c r="A634" s="18" t="s">
        <v>300</v>
      </c>
      <c r="B634" s="18" t="str">
        <f>"8888000200"</f>
        <v>8888000200</v>
      </c>
      <c r="C634" s="18" t="str">
        <f>"TRAVEL CARD Out of town Auto R"</f>
        <v>TRAVEL CARD Out of town Auto R</v>
      </c>
      <c r="D634" s="18" t="s">
        <v>1895</v>
      </c>
    </row>
    <row r="635" spans="1:4" ht="27">
      <c r="A635" s="18" t="s">
        <v>300</v>
      </c>
      <c r="B635" s="18" t="str">
        <f>"8888000300"</f>
        <v>8888000300</v>
      </c>
      <c r="C635" s="18" t="str">
        <f>"TRAVEL CARD Out of Town Lodgin"</f>
        <v>TRAVEL CARD Out of Town Lodgin</v>
      </c>
      <c r="D635" s="18" t="s">
        <v>1895</v>
      </c>
    </row>
    <row r="636" spans="1:4" ht="27">
      <c r="A636" s="18" t="s">
        <v>300</v>
      </c>
      <c r="B636" s="18" t="str">
        <f>"8888000400"</f>
        <v>8888000400</v>
      </c>
      <c r="C636" s="18" t="str">
        <f>"TRAVEL CARD O of T Ground Tran"</f>
        <v>TRAVEL CARD O of T Ground Tran</v>
      </c>
      <c r="D636" s="18" t="s">
        <v>1895</v>
      </c>
    </row>
    <row r="637" spans="1:4" ht="27">
      <c r="A637" s="18" t="s">
        <v>300</v>
      </c>
      <c r="B637" s="18" t="str">
        <f>"8888000500"</f>
        <v>8888000500</v>
      </c>
      <c r="C637" s="18" t="str">
        <f>"TRAVEL CARD Conference Registr"</f>
        <v>TRAVEL CARD Conference Registr</v>
      </c>
      <c r="D637" s="18" t="s">
        <v>1895</v>
      </c>
    </row>
    <row r="638" spans="1:4" ht="27">
      <c r="A638" s="18" t="s">
        <v>300</v>
      </c>
      <c r="B638" s="18" t="str">
        <f>"8888000600"</f>
        <v>8888000600</v>
      </c>
      <c r="C638" s="18" t="str">
        <f>"TRAVEL CARD Copying/Repro serv"</f>
        <v>TRAVEL CARD Copying/Repro serv</v>
      </c>
      <c r="D638" s="18" t="s">
        <v>1895</v>
      </c>
    </row>
    <row r="639" spans="1:4">
      <c r="A639" s="18" t="s">
        <v>300</v>
      </c>
      <c r="B639" s="18" t="str">
        <f>"8888000700"</f>
        <v>8888000700</v>
      </c>
      <c r="C639" s="18" t="str">
        <f>"TRAVEL CARD Office supplies"</f>
        <v>TRAVEL CARD Office supplies</v>
      </c>
      <c r="D639" s="18" t="s">
        <v>1895</v>
      </c>
    </row>
    <row r="640" spans="1:4">
      <c r="A640" s="18" t="s">
        <v>300</v>
      </c>
      <c r="B640" s="18" t="str">
        <f>"8888000800"</f>
        <v>8888000800</v>
      </c>
      <c r="C640" s="18" t="str">
        <f>"TRAVEL CARD Airfare non PSC"</f>
        <v>TRAVEL CARD Airfare non PSC</v>
      </c>
      <c r="D640" s="18" t="s">
        <v>1895</v>
      </c>
    </row>
    <row r="641" spans="1:4">
      <c r="A641" s="18" t="s">
        <v>300</v>
      </c>
      <c r="B641" s="18" t="str">
        <f>"8888000900"</f>
        <v>8888000900</v>
      </c>
      <c r="C641" s="18" t="str">
        <f>"TRAVEL CARD Auto Rep non PSC"</f>
        <v>TRAVEL CARD Auto Rep non PSC</v>
      </c>
      <c r="D641" s="18" t="s">
        <v>1895</v>
      </c>
    </row>
    <row r="642" spans="1:4">
      <c r="A642" s="18" t="s">
        <v>300</v>
      </c>
      <c r="B642" s="18" t="str">
        <f>"8888001000"</f>
        <v>8888001000</v>
      </c>
      <c r="C642" s="18" t="str">
        <f>"TRAVEL CARD Lodging non PSC"</f>
        <v>TRAVEL CARD Lodging non PSC</v>
      </c>
      <c r="D642" s="18" t="s">
        <v>1895</v>
      </c>
    </row>
    <row r="643" spans="1:4" ht="27">
      <c r="A643" s="18" t="s">
        <v>300</v>
      </c>
      <c r="B643" s="18" t="str">
        <f>"8888001100"</f>
        <v>8888001100</v>
      </c>
      <c r="C643" s="18" t="str">
        <f>"TRAVEL CARD Ground tra non PSC"</f>
        <v>TRAVEL CARD Ground tra non PSC</v>
      </c>
      <c r="D643" s="18" t="s">
        <v>1895</v>
      </c>
    </row>
    <row r="644" spans="1:4">
      <c r="A644" s="18" t="s">
        <v>300</v>
      </c>
      <c r="B644" s="18" t="str">
        <f>"900"</f>
        <v>900</v>
      </c>
      <c r="C644" s="18" t="str">
        <f>"900"</f>
        <v>900</v>
      </c>
      <c r="D644" s="18" t="s">
        <v>1895</v>
      </c>
    </row>
    <row r="645" spans="1:4">
      <c r="A645" s="18" t="s">
        <v>300</v>
      </c>
      <c r="B645" s="18" t="str">
        <f>"9000000000"</f>
        <v>9000000000</v>
      </c>
      <c r="C645" s="18" t="str">
        <f>"9000000000"</f>
        <v>9000000000</v>
      </c>
      <c r="D645" s="18" t="s">
        <v>1895</v>
      </c>
    </row>
    <row r="646" spans="1:4">
      <c r="A646" s="18" t="s">
        <v>300</v>
      </c>
      <c r="B646" s="18" t="str">
        <f>"9010000000"</f>
        <v>9010000000</v>
      </c>
      <c r="C646" s="18" t="str">
        <f>"Restaurants &amp; catering"</f>
        <v>Restaurants &amp; catering</v>
      </c>
      <c r="D646" s="18" t="s">
        <v>1895</v>
      </c>
    </row>
    <row r="647" spans="1:4">
      <c r="A647" s="18" t="s">
        <v>300</v>
      </c>
      <c r="B647" s="18" t="str">
        <f>"9011000000"</f>
        <v>9011000000</v>
      </c>
      <c r="C647" s="18" t="str">
        <f>"Hotels &amp; lodging"</f>
        <v>Hotels &amp; lodging</v>
      </c>
      <c r="D647" s="18" t="s">
        <v>1895</v>
      </c>
    </row>
    <row r="648" spans="1:4">
      <c r="A648" s="18" t="s">
        <v>300</v>
      </c>
      <c r="B648" s="18" t="str">
        <f>"9012000000"</f>
        <v>9012000000</v>
      </c>
      <c r="C648" s="18" t="str">
        <f>"Travel facilitation"</f>
        <v>Travel facilitation</v>
      </c>
      <c r="D648" s="18" t="s">
        <v>1895</v>
      </c>
    </row>
    <row r="649" spans="1:4">
      <c r="A649" s="18" t="s">
        <v>300</v>
      </c>
      <c r="B649" s="18" t="str">
        <f>"9013000000"</f>
        <v>9013000000</v>
      </c>
      <c r="C649" s="18" t="str">
        <f>"Performing arts"</f>
        <v>Performing arts</v>
      </c>
      <c r="D649" s="18" t="s">
        <v>1895</v>
      </c>
    </row>
    <row r="650" spans="1:4">
      <c r="A650" s="18" t="s">
        <v>300</v>
      </c>
      <c r="B650" s="18" t="str">
        <f>"9014000000"</f>
        <v>9014000000</v>
      </c>
      <c r="C650" s="18" t="str">
        <f>"Commercial sports"</f>
        <v>Commercial sports</v>
      </c>
      <c r="D650" s="18" t="s">
        <v>1895</v>
      </c>
    </row>
    <row r="651" spans="1:4">
      <c r="A651" s="18" t="s">
        <v>300</v>
      </c>
      <c r="B651" s="18" t="str">
        <f>"9015000000"</f>
        <v>9015000000</v>
      </c>
      <c r="C651" s="18" t="str">
        <f>"Entertainment svcs"</f>
        <v>Entertainment svcs</v>
      </c>
      <c r="D651" s="18" t="s">
        <v>1895</v>
      </c>
    </row>
    <row r="652" spans="1:4">
      <c r="A652" s="18" t="s">
        <v>300</v>
      </c>
      <c r="B652" s="18" t="str">
        <f>"9100000000"</f>
        <v>9100000000</v>
      </c>
      <c r="C652" s="18" t="str">
        <f>"9100000000"</f>
        <v>9100000000</v>
      </c>
      <c r="D652" s="18" t="s">
        <v>1895</v>
      </c>
    </row>
    <row r="653" spans="1:4">
      <c r="A653" s="18" t="s">
        <v>300</v>
      </c>
      <c r="B653" s="18" t="str">
        <f>"9110000000"</f>
        <v>9110000000</v>
      </c>
      <c r="C653" s="18" t="str">
        <f>"Personal appearance"</f>
        <v>Personal appearance</v>
      </c>
      <c r="D653" s="18" t="s">
        <v>1895</v>
      </c>
    </row>
    <row r="654" spans="1:4" ht="27">
      <c r="A654" s="18" t="s">
        <v>300</v>
      </c>
      <c r="B654" s="18" t="str">
        <f>"9111000000"</f>
        <v>9111000000</v>
      </c>
      <c r="C654" s="18" t="str">
        <f>"Domestic &amp; personal assistance"</f>
        <v>Domestic &amp; personal assistance</v>
      </c>
      <c r="D654" s="18" t="s">
        <v>1895</v>
      </c>
    </row>
    <row r="655" spans="1:4">
      <c r="A655" s="18" t="s">
        <v>300</v>
      </c>
      <c r="B655" s="18" t="str">
        <f>"9200000000"</f>
        <v>9200000000</v>
      </c>
      <c r="C655" s="18" t="str">
        <f>"9200000000"</f>
        <v>9200000000</v>
      </c>
      <c r="D655" s="18" t="s">
        <v>1895</v>
      </c>
    </row>
    <row r="656" spans="1:4">
      <c r="A656" s="18" t="s">
        <v>300</v>
      </c>
      <c r="B656" s="18" t="str">
        <f>"9210000000"</f>
        <v>9210000000</v>
      </c>
      <c r="C656" s="18" t="str">
        <f>"Public order &amp; safety"</f>
        <v>Public order &amp; safety</v>
      </c>
      <c r="D656" s="18" t="s">
        <v>1895</v>
      </c>
    </row>
    <row r="657" spans="1:4">
      <c r="A657" s="18" t="s">
        <v>300</v>
      </c>
      <c r="B657" s="18" t="str">
        <f>"9211000000"</f>
        <v>9211000000</v>
      </c>
      <c r="C657" s="18" t="str">
        <f>"Military svcs"</f>
        <v>Military svcs</v>
      </c>
      <c r="D657" s="18" t="s">
        <v>1895</v>
      </c>
    </row>
    <row r="658" spans="1:4">
      <c r="A658" s="18" t="s">
        <v>300</v>
      </c>
      <c r="B658" s="18" t="str">
        <f>"9212000000"</f>
        <v>9212000000</v>
      </c>
      <c r="C658" s="18" t="str">
        <f>"Security &amp; personal safety"</f>
        <v>Security &amp; personal safety</v>
      </c>
      <c r="D658" s="18" t="s">
        <v>1895</v>
      </c>
    </row>
    <row r="659" spans="1:4">
      <c r="A659" s="18" t="s">
        <v>300</v>
      </c>
      <c r="B659" s="18" t="str">
        <f>"9212150400"</f>
        <v>9212150400</v>
      </c>
      <c r="C659" s="18" t="str">
        <f>"Security Guard Services"</f>
        <v>Security Guard Services</v>
      </c>
      <c r="D659" s="18" t="s">
        <v>1895</v>
      </c>
    </row>
    <row r="660" spans="1:4">
      <c r="A660" s="18" t="s">
        <v>300</v>
      </c>
      <c r="B660" s="18" t="str">
        <f>"9300000000"</f>
        <v>9300000000</v>
      </c>
      <c r="C660" s="18" t="str">
        <f>"9300000000"</f>
        <v>9300000000</v>
      </c>
      <c r="D660" s="18" t="s">
        <v>1895</v>
      </c>
    </row>
    <row r="661" spans="1:4">
      <c r="A661" s="18" t="s">
        <v>300</v>
      </c>
      <c r="B661" s="18" t="str">
        <f>"9310000000"</f>
        <v>9310000000</v>
      </c>
      <c r="C661" s="18" t="str">
        <f>"Political syst &amp; institutions"</f>
        <v>Political syst &amp; institutions</v>
      </c>
      <c r="D661" s="18" t="s">
        <v>1895</v>
      </c>
    </row>
    <row r="662" spans="1:4">
      <c r="A662" s="18" t="s">
        <v>300</v>
      </c>
      <c r="B662" s="18" t="str">
        <f>"9311000000"</f>
        <v>9311000000</v>
      </c>
      <c r="C662" s="18" t="str">
        <f>"Socio political conditions"</f>
        <v>Socio political conditions</v>
      </c>
      <c r="D662" s="18" t="s">
        <v>1895</v>
      </c>
    </row>
    <row r="663" spans="1:4">
      <c r="A663" s="18" t="s">
        <v>300</v>
      </c>
      <c r="B663" s="18" t="str">
        <f>"9312000000"</f>
        <v>9312000000</v>
      </c>
      <c r="C663" s="18" t="str">
        <f>"International relations"</f>
        <v>International relations</v>
      </c>
      <c r="D663" s="18" t="s">
        <v>1895</v>
      </c>
    </row>
    <row r="664" spans="1:4">
      <c r="A664" s="18" t="s">
        <v>300</v>
      </c>
      <c r="B664" s="18" t="str">
        <f>"9313000000"</f>
        <v>9313000000</v>
      </c>
      <c r="C664" s="18" t="str">
        <f>"Humanitarian aid &amp; relief"</f>
        <v>Humanitarian aid &amp; relief</v>
      </c>
      <c r="D664" s="18" t="s">
        <v>1895</v>
      </c>
    </row>
    <row r="665" spans="1:4">
      <c r="A665" s="18" t="s">
        <v>300</v>
      </c>
      <c r="B665" s="18" t="str">
        <f>"9314000000"</f>
        <v>9314000000</v>
      </c>
      <c r="C665" s="18" t="str">
        <f>"Community &amp; social svcs"</f>
        <v>Community &amp; social svcs</v>
      </c>
      <c r="D665" s="18" t="s">
        <v>1895</v>
      </c>
    </row>
    <row r="666" spans="1:4">
      <c r="A666" s="18" t="s">
        <v>300</v>
      </c>
      <c r="B666" s="18" t="str">
        <f>"9315000000"</f>
        <v>9315000000</v>
      </c>
      <c r="C666" s="18" t="str">
        <f>"Public admin &amp; finance svcs"</f>
        <v>Public admin &amp; finance svcs</v>
      </c>
      <c r="D666" s="18" t="s">
        <v>1895</v>
      </c>
    </row>
    <row r="667" spans="1:4">
      <c r="A667" s="18" t="s">
        <v>300</v>
      </c>
      <c r="B667" s="18" t="str">
        <f>"9316000000"</f>
        <v>9316000000</v>
      </c>
      <c r="C667" s="18" t="str">
        <f>"Taxation"</f>
        <v>Taxation</v>
      </c>
      <c r="D667" s="18" t="s">
        <v>1895</v>
      </c>
    </row>
    <row r="668" spans="1:4">
      <c r="A668" s="18" t="s">
        <v>300</v>
      </c>
      <c r="B668" s="18" t="str">
        <f>"9317000000"</f>
        <v>9317000000</v>
      </c>
      <c r="C668" s="18" t="str">
        <f>"Trade policy &amp; regulation"</f>
        <v>Trade policy &amp; regulation</v>
      </c>
      <c r="D668" s="18" t="s">
        <v>1895</v>
      </c>
    </row>
    <row r="669" spans="1:4">
      <c r="A669" s="18" t="s">
        <v>300</v>
      </c>
      <c r="B669" s="18" t="str">
        <f>"9400000000"</f>
        <v>9400000000</v>
      </c>
      <c r="C669" s="18" t="str">
        <f>"9400000000"</f>
        <v>9400000000</v>
      </c>
      <c r="D669" s="18" t="s">
        <v>1895</v>
      </c>
    </row>
    <row r="670" spans="1:4">
      <c r="A670" s="18" t="s">
        <v>300</v>
      </c>
      <c r="B670" s="18" t="str">
        <f>"9410000000"</f>
        <v>9410000000</v>
      </c>
      <c r="C670" s="18" t="str">
        <f>"Work related orgs"</f>
        <v>Work related orgs</v>
      </c>
      <c r="D670" s="18" t="s">
        <v>1895</v>
      </c>
    </row>
    <row r="671" spans="1:4">
      <c r="A671" s="18" t="s">
        <v>300</v>
      </c>
      <c r="B671" s="18" t="str">
        <f>"9411000000"</f>
        <v>9411000000</v>
      </c>
      <c r="C671" s="18" t="str">
        <f>"Religious orgs"</f>
        <v>Religious orgs</v>
      </c>
      <c r="D671" s="18" t="s">
        <v>1895</v>
      </c>
    </row>
    <row r="672" spans="1:4">
      <c r="A672" s="18" t="s">
        <v>300</v>
      </c>
      <c r="B672" s="18" t="str">
        <f>"9412000000"</f>
        <v>9412000000</v>
      </c>
      <c r="C672" s="18" t="str">
        <f>"Clubs"</f>
        <v>Clubs</v>
      </c>
      <c r="D672" s="18" t="s">
        <v>1895</v>
      </c>
    </row>
    <row r="673" spans="1:4" ht="27">
      <c r="A673" s="18" t="s">
        <v>300</v>
      </c>
      <c r="B673" s="18" t="str">
        <f>"9413000000"</f>
        <v>9413000000</v>
      </c>
      <c r="C673" s="18" t="str">
        <f>"Civic orgs &amp; assoc &amp; movements"</f>
        <v>Civic orgs &amp; assoc &amp; movements</v>
      </c>
      <c r="D673" s="18" t="s">
        <v>1895</v>
      </c>
    </row>
    <row r="674" spans="1:4">
      <c r="A674" s="18" t="s">
        <v>300</v>
      </c>
      <c r="B674" s="18" t="str">
        <f>"9900000000"</f>
        <v>9900000000</v>
      </c>
      <c r="C674" s="18" t="str">
        <f>"9900000000"</f>
        <v>9900000000</v>
      </c>
      <c r="D674" s="18" t="s">
        <v>1895</v>
      </c>
    </row>
    <row r="675" spans="1:4">
      <c r="A675" s="18" t="s">
        <v>300</v>
      </c>
      <c r="B675" s="18" t="str">
        <f>"9999000000"</f>
        <v>9999000000</v>
      </c>
      <c r="C675" s="18" t="str">
        <f>"9999000000"</f>
        <v>9999000000</v>
      </c>
      <c r="D675" s="18" t="s">
        <v>1895</v>
      </c>
    </row>
    <row r="676" spans="1:4">
      <c r="A676" s="18" t="s">
        <v>300</v>
      </c>
      <c r="B676" s="18" t="str">
        <f>"9999000100"</f>
        <v>9999000100</v>
      </c>
      <c r="C676" s="18" t="str">
        <f>"P-CARD Supplies B&amp;G"</f>
        <v>P-CARD Supplies B&amp;G</v>
      </c>
      <c r="D676" s="18" t="s">
        <v>1895</v>
      </c>
    </row>
    <row r="677" spans="1:4">
      <c r="A677" s="18" t="s">
        <v>300</v>
      </c>
      <c r="B677" s="18" t="str">
        <f>"9999000200"</f>
        <v>9999000200</v>
      </c>
      <c r="C677" s="18" t="str">
        <f>"P-CARD Subscriptions"</f>
        <v>P-CARD Subscriptions</v>
      </c>
      <c r="D677" s="18" t="s">
        <v>1895</v>
      </c>
    </row>
    <row r="678" spans="1:4">
      <c r="A678" s="18" t="s">
        <v>300</v>
      </c>
      <c r="B678" s="18" t="str">
        <f>"9999000300"</f>
        <v>9999000300</v>
      </c>
      <c r="C678" s="18" t="str">
        <f>"P-CARD Memberships"</f>
        <v>P-CARD Memberships</v>
      </c>
      <c r="D678" s="18" t="s">
        <v>1895</v>
      </c>
    </row>
    <row r="679" spans="1:4">
      <c r="A679" s="18" t="s">
        <v>300</v>
      </c>
      <c r="B679" s="18" t="str">
        <f>"9999000400"</f>
        <v>9999000400</v>
      </c>
      <c r="C679" s="18" t="str">
        <f>"P-CARD Classroom Supplies"</f>
        <v>P-CARD Classroom Supplies</v>
      </c>
      <c r="D679" s="18" t="s">
        <v>1895</v>
      </c>
    </row>
    <row r="680" spans="1:4" ht="27">
      <c r="A680" s="18" t="s">
        <v>300</v>
      </c>
      <c r="B680" s="18" t="str">
        <f>"9999000500"</f>
        <v>9999000500</v>
      </c>
      <c r="C680" s="18" t="str">
        <f>"P-CARD Conference Registration"</f>
        <v>P-CARD Conference Registration</v>
      </c>
      <c r="D680" s="18" t="s">
        <v>1895</v>
      </c>
    </row>
    <row r="681" spans="1:4">
      <c r="A681" s="18" t="s">
        <v>300</v>
      </c>
      <c r="B681" s="18" t="str">
        <f>"9999000600"</f>
        <v>9999000600</v>
      </c>
      <c r="C681" s="18" t="str">
        <f>"P-CARD Books"</f>
        <v>P-CARD Books</v>
      </c>
      <c r="D681" s="18" t="s">
        <v>1895</v>
      </c>
    </row>
    <row r="682" spans="1:4">
      <c r="A682" s="18" t="s">
        <v>300</v>
      </c>
      <c r="B682" s="18" t="str">
        <f>"9999000700"</f>
        <v>9999000700</v>
      </c>
      <c r="C682" s="18" t="str">
        <f>"P-CARD Phone &amp; Data Charges"</f>
        <v>P-CARD Phone &amp; Data Charges</v>
      </c>
      <c r="D682" s="18" t="s">
        <v>1895</v>
      </c>
    </row>
    <row r="683" spans="1:4">
      <c r="A683" s="18" t="s">
        <v>300</v>
      </c>
      <c r="B683" s="18" t="str">
        <f>"9999000800"</f>
        <v>9999000800</v>
      </c>
      <c r="C683" s="18" t="str">
        <f>"P-CARD Technology/Electronics"</f>
        <v>P-CARD Technology/Electronics</v>
      </c>
      <c r="D683" s="18" t="s">
        <v>1895</v>
      </c>
    </row>
    <row r="684" spans="1:4">
      <c r="A684" s="18" t="s">
        <v>300</v>
      </c>
      <c r="B684" s="18" t="str">
        <f>"9999000900"</f>
        <v>9999000900</v>
      </c>
      <c r="C684" s="18" t="str">
        <f>"P-CARD Vehicle Expenses"</f>
        <v>P-CARD Vehicle Expenses</v>
      </c>
      <c r="D684" s="18" t="s">
        <v>1895</v>
      </c>
    </row>
    <row r="685" spans="1:4">
      <c r="A685" s="18" t="s">
        <v>300</v>
      </c>
      <c r="B685" s="18" t="str">
        <f>"9999001000"</f>
        <v>9999001000</v>
      </c>
      <c r="C685" s="18" t="str">
        <f>"P-CARD Office Supplies"</f>
        <v>P-CARD Office Supplies</v>
      </c>
      <c r="D685" s="18" t="s">
        <v>1895</v>
      </c>
    </row>
    <row r="686" spans="1:4">
      <c r="A686" s="18" t="s">
        <v>300</v>
      </c>
      <c r="B686" s="18" t="str">
        <f>"ALL ITEMS"</f>
        <v>ALL ITEMS</v>
      </c>
      <c r="C686" s="18" t="str">
        <f>"All Items"</f>
        <v>All Items</v>
      </c>
      <c r="D686" s="18" t="s">
        <v>1895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Bud Acct vs Exp Acct File</vt:lpstr>
      <vt:lpstr>Supplies &amp; Materials</vt:lpstr>
      <vt:lpstr>Contracts</vt:lpstr>
      <vt:lpstr>Equipment</vt:lpstr>
      <vt:lpstr>Travel</vt:lpstr>
      <vt:lpstr>Fringe Benefits</vt:lpstr>
      <vt:lpstr>Dept Acct Data Set (Revised)</vt:lpstr>
      <vt:lpstr>Dept Acct Data Set (Old)</vt:lpstr>
      <vt:lpstr>Sheet1</vt:lpstr>
      <vt:lpstr>Contracts!Print_Titles</vt:lpstr>
      <vt:lpstr>Equipment!Print_Titles</vt:lpstr>
      <vt:lpstr>'Supplies &amp; Materials'!Print_Titles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Hasson Gordon</dc:creator>
  <cp:lastModifiedBy>hgordon</cp:lastModifiedBy>
  <cp:lastPrinted>2014-04-30T16:15:29Z</cp:lastPrinted>
  <dcterms:created xsi:type="dcterms:W3CDTF">2013-09-19T22:03:21Z</dcterms:created>
  <dcterms:modified xsi:type="dcterms:W3CDTF">2014-04-30T16:18:52Z</dcterms:modified>
</cp:coreProperties>
</file>